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pivotTables/pivotTable1.xml" ContentType="application/vnd.openxmlformats-officedocument.spreadsheetml.pivotTable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csupomona-my.sharepoint.com/personal/nnorimoto_cpp_edu/Documents/Downloads/"/>
    </mc:Choice>
  </mc:AlternateContent>
  <xr:revisionPtr revIDLastSave="1" documentId="8_{884E608D-41AD-4DAF-A931-C951F90F0460}" xr6:coauthVersionLast="47" xr6:coauthVersionMax="47" xr10:uidLastSave="{7512C86E-F853-4D1A-8997-490C9CE812C6}"/>
  <bookViews>
    <workbookView xWindow="9210" yWindow="3420" windowWidth="28800" windowHeight="15285" activeTab="2" xr2:uid="{93628C59-3898-49FA-9FA3-1CC7BDADFAB2}"/>
  </bookViews>
  <sheets>
    <sheet name="Attachment A - Base" sheetId="14" r:id="rId1"/>
    <sheet name="Attachment B - Desig Base" sheetId="16" r:id="rId2"/>
    <sheet name="Attachment C - Fees Base" sheetId="17" r:id="rId3"/>
    <sheet name="Attachment D - One-Time" sheetId="18" r:id="rId4"/>
    <sheet name="Attachment E - Desig One-Time" sheetId="24" r:id="rId5"/>
    <sheet name="Attachment F - Fees One-Time" sheetId="21" r:id="rId6"/>
    <sheet name="Attachment G - Transfers" sheetId="31" r:id="rId7"/>
    <sheet name="Attachment H - Financial Aid" sheetId="26" r:id="rId8"/>
    <sheet name="Attachment I - Lottery Base" sheetId="22" r:id="rId9"/>
    <sheet name="Attachment J - Lottery CFWD" sheetId="23" r:id="rId10"/>
    <sheet name="Attachment K - PCR" sheetId="29" r:id="rId11"/>
    <sheet name="Attachment L - PCR CFWD" sheetId="27" r:id="rId12"/>
    <sheet name="OFFICE USE ONLY" sheetId="19" r:id="rId13"/>
    <sheet name="Attachment F - Financial Aid" sheetId="6" state="hidden" r:id="rId14"/>
  </sheets>
  <definedNames>
    <definedName name="_xlnm._FilterDatabase" localSheetId="11" hidden="1">'Attachment L - PCR CFWD'!$A$24:$E$79</definedName>
    <definedName name="LineDesc">#REF!</definedName>
    <definedName name="_xlnm.Print_Area" localSheetId="0">'Attachment A - Base'!$A$1:$K$52</definedName>
    <definedName name="_xlnm.Print_Area" localSheetId="1">'Attachment B - Desig Base'!$A$1:$G$38</definedName>
    <definedName name="_xlnm.Print_Area" localSheetId="2">'Attachment C - Fees Base'!$A$1:$I$160</definedName>
    <definedName name="_xlnm.Print_Area" localSheetId="3">'Attachment D - One-Time'!$A$1:$M$33</definedName>
    <definedName name="_xlnm.Print_Area" localSheetId="4">'Attachment E - Desig One-Time'!$A$1:$K$71</definedName>
    <definedName name="_xlnm.Print_Area" localSheetId="5">'Attachment F - Fees One-Time'!$A$1:$J$120</definedName>
    <definedName name="_xlnm.Print_Area" localSheetId="13">'Attachment F - Financial Aid'!$A$1:$E$19</definedName>
    <definedName name="_xlnm.Print_Area" localSheetId="6">'Attachment G - Transfers'!$A$1:$K$23</definedName>
    <definedName name="_xlnm.Print_Area" localSheetId="7">'Attachment H - Financial Aid'!$A$1:$G$34</definedName>
    <definedName name="_xlnm.Print_Area" localSheetId="8">'Attachment I - Lottery Base'!$A$1:$F$28</definedName>
    <definedName name="_xlnm.Print_Area" localSheetId="9">'Attachment J - Lottery CFWD'!$A$1:$E$24</definedName>
    <definedName name="_xlnm.Print_Area" localSheetId="10">'Attachment K - PCR'!$A$1:$K$94</definedName>
    <definedName name="_xlnm.Print_Area" localSheetId="11">'Attachment L - PCR CFWD'!$A$1:$J$127</definedName>
    <definedName name="_xlnm.Print_Titles" localSheetId="1">'Attachment B - Desig Base'!$1:$4</definedName>
    <definedName name="_xlnm.Print_Titles" localSheetId="2">'Attachment C - Fees Base'!$1:$4</definedName>
    <definedName name="_xlnm.Print_Titles" localSheetId="4">'Attachment E - Desig One-Time'!$1:$4</definedName>
    <definedName name="_xlnm.Print_Titles" localSheetId="5">'Attachment F - Fees One-Time'!$1:$4</definedName>
    <definedName name="_xlnm.Print_Titles" localSheetId="6">'Attachment G - Transfers'!$1:$4</definedName>
    <definedName name="_xlnm.Print_Titles" localSheetId="7">'Attachment H - Financial Aid'!$1:$4</definedName>
    <definedName name="_xlnm.Print_Titles" localSheetId="10">'Attachment K - PCR'!$1:$4</definedName>
    <definedName name="_xlnm.Print_Titles" localSheetId="11">'Attachment L - PCR CFWD'!$1:$4</definedName>
    <definedName name="Scenario">#REF!</definedName>
  </definedNames>
  <calcPr calcId="191028"/>
  <pivotCaches>
    <pivotCache cacheId="0" r:id="rId1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4" l="1"/>
  <c r="I20" i="14"/>
  <c r="K20" i="14" s="1"/>
  <c r="I19" i="17"/>
  <c r="D19" i="16"/>
  <c r="H20" i="14"/>
  <c r="E21" i="14"/>
  <c r="G19" i="14"/>
  <c r="F17" i="31"/>
  <c r="F20" i="31" s="1"/>
  <c r="F15" i="31"/>
  <c r="F10" i="31"/>
  <c r="F21" i="18"/>
  <c r="F20" i="18"/>
  <c r="E21" i="18"/>
  <c r="F19" i="18"/>
  <c r="F17" i="18"/>
  <c r="F16" i="18"/>
  <c r="F13" i="18"/>
  <c r="F12" i="18"/>
  <c r="E18" i="18"/>
  <c r="B119" i="21"/>
  <c r="D20" i="23"/>
  <c r="D19" i="23"/>
  <c r="B9" i="27"/>
  <c r="B20" i="18"/>
  <c r="I19" i="21"/>
  <c r="J61" i="24"/>
  <c r="J49" i="24"/>
  <c r="C19" i="27"/>
  <c r="B19" i="27"/>
  <c r="B16" i="27"/>
  <c r="B15" i="27"/>
  <c r="B14" i="27"/>
  <c r="B13" i="27"/>
  <c r="B12" i="27"/>
  <c r="B11" i="27"/>
  <c r="B10" i="27"/>
  <c r="E16" i="29"/>
  <c r="D16" i="29"/>
  <c r="C16" i="29"/>
  <c r="E15" i="29"/>
  <c r="D15" i="29"/>
  <c r="C15" i="29"/>
  <c r="E14" i="29"/>
  <c r="D14" i="29"/>
  <c r="C14" i="29"/>
  <c r="E13" i="29"/>
  <c r="D13" i="29"/>
  <c r="C13" i="29"/>
  <c r="E12" i="29"/>
  <c r="D12" i="29"/>
  <c r="C12" i="29"/>
  <c r="E11" i="29"/>
  <c r="D11" i="29"/>
  <c r="C11" i="29"/>
  <c r="E10" i="29"/>
  <c r="D10" i="29"/>
  <c r="C10" i="29"/>
  <c r="E9" i="29"/>
  <c r="D9" i="29"/>
  <c r="C9" i="29"/>
  <c r="B16" i="29"/>
  <c r="B15" i="29"/>
  <c r="B14" i="29"/>
  <c r="B13" i="29"/>
  <c r="B12" i="29"/>
  <c r="B11" i="29"/>
  <c r="B10" i="29"/>
  <c r="F9" i="29"/>
  <c r="F38" i="16" l="1"/>
  <c r="G37" i="16"/>
  <c r="G36" i="16"/>
  <c r="G35" i="16"/>
  <c r="G32" i="16"/>
  <c r="G31" i="16"/>
  <c r="G29" i="16"/>
  <c r="G28" i="16"/>
  <c r="G27" i="16"/>
  <c r="G30" i="16"/>
  <c r="C33" i="16"/>
  <c r="G33" i="16" s="1"/>
  <c r="B162" i="17"/>
  <c r="C163" i="17" s="1"/>
  <c r="K11" i="31"/>
  <c r="C11" i="16" s="1"/>
  <c r="K12" i="31"/>
  <c r="C12" i="16" s="1"/>
  <c r="K13" i="31"/>
  <c r="C13" i="16" s="1"/>
  <c r="K14" i="31"/>
  <c r="C14" i="16" s="1"/>
  <c r="K16" i="31"/>
  <c r="C16" i="16" s="1"/>
  <c r="H11" i="31"/>
  <c r="H12" i="31"/>
  <c r="H13" i="31"/>
  <c r="H16" i="31"/>
  <c r="H15" i="17" l="1"/>
  <c r="I15" i="17" s="1"/>
  <c r="D10" i="31"/>
  <c r="H10" i="31" s="1"/>
  <c r="C48" i="24"/>
  <c r="C47" i="24"/>
  <c r="K47" i="24" s="1"/>
  <c r="C41" i="24"/>
  <c r="C40" i="24"/>
  <c r="H69" i="24"/>
  <c r="C53" i="24"/>
  <c r="K53" i="24" s="1"/>
  <c r="C52" i="24"/>
  <c r="K52" i="24" s="1"/>
  <c r="C51" i="24"/>
  <c r="K51" i="24" s="1"/>
  <c r="K68" i="24"/>
  <c r="K67" i="24"/>
  <c r="K66" i="24"/>
  <c r="K65" i="24"/>
  <c r="K64" i="24"/>
  <c r="K63" i="24"/>
  <c r="K62" i="24"/>
  <c r="K61" i="24"/>
  <c r="K60" i="24"/>
  <c r="K59" i="24"/>
  <c r="K58" i="24"/>
  <c r="K57" i="24"/>
  <c r="K56" i="24"/>
  <c r="K55" i="24"/>
  <c r="K54" i="24"/>
  <c r="K49" i="24"/>
  <c r="K48" i="24"/>
  <c r="K46" i="24"/>
  <c r="K45" i="24"/>
  <c r="K44" i="24"/>
  <c r="K43" i="24"/>
  <c r="K42" i="24"/>
  <c r="K41" i="24"/>
  <c r="K40" i="24"/>
  <c r="K39" i="24"/>
  <c r="K38" i="24"/>
  <c r="K37" i="24"/>
  <c r="K36" i="24"/>
  <c r="K35" i="24"/>
  <c r="K34" i="24"/>
  <c r="B11" i="18"/>
  <c r="F11" i="18" s="1"/>
  <c r="J10" i="31" l="1"/>
  <c r="D9" i="31"/>
  <c r="D15" i="31" s="1"/>
  <c r="H15" i="31" s="1"/>
  <c r="I9" i="31"/>
  <c r="E15" i="24"/>
  <c r="I15" i="31" l="1"/>
  <c r="K9" i="31"/>
  <c r="J15" i="31"/>
  <c r="K10" i="31"/>
  <c r="C10" i="16" s="1"/>
  <c r="C14" i="31"/>
  <c r="H14" i="31" s="1"/>
  <c r="C9" i="31"/>
  <c r="H9" i="31" s="1"/>
  <c r="C9" i="16" l="1"/>
  <c r="D9" i="16" s="1"/>
  <c r="K15" i="31"/>
  <c r="C15" i="16" s="1"/>
  <c r="E10" i="14"/>
  <c r="D10" i="18" l="1"/>
  <c r="D15" i="18"/>
  <c r="F15" i="18" s="1"/>
  <c r="D123" i="21" l="1"/>
  <c r="C123" i="21"/>
  <c r="H15" i="21" s="1"/>
  <c r="C15" i="24"/>
  <c r="G15" i="24"/>
  <c r="C13" i="24"/>
  <c r="C50" i="24"/>
  <c r="K50" i="24" s="1"/>
  <c r="K69" i="24" s="1"/>
  <c r="I69" i="24"/>
  <c r="B10" i="18"/>
  <c r="F10" i="18" s="1"/>
  <c r="H15" i="24" l="1"/>
  <c r="G16" i="18" s="1"/>
  <c r="I16" i="18" s="1"/>
  <c r="D18" i="18"/>
  <c r="H18" i="18"/>
  <c r="K18" i="18"/>
  <c r="B18" i="18"/>
  <c r="H16" i="24"/>
  <c r="G17" i="18" s="1"/>
  <c r="I17" i="18" s="1"/>
  <c r="J15" i="21"/>
  <c r="J16" i="18" s="1"/>
  <c r="L16" i="18" s="1"/>
  <c r="J16" i="21"/>
  <c r="J17" i="18" s="1"/>
  <c r="L17" i="18" s="1"/>
  <c r="I17" i="21"/>
  <c r="B17" i="22"/>
  <c r="C15" i="22"/>
  <c r="C16" i="22"/>
  <c r="C17" i="22" s="1"/>
  <c r="C14" i="22"/>
  <c r="C17" i="23"/>
  <c r="D17" i="23"/>
  <c r="E17" i="23"/>
  <c r="B17" i="23"/>
  <c r="E15" i="23"/>
  <c r="E16" i="23"/>
  <c r="E14" i="23"/>
  <c r="J16" i="27"/>
  <c r="J15" i="27"/>
  <c r="F15" i="29"/>
  <c r="F16" i="29"/>
  <c r="I17" i="27"/>
  <c r="C17" i="27"/>
  <c r="D17" i="27"/>
  <c r="E17" i="27"/>
  <c r="F17" i="27"/>
  <c r="G17" i="27"/>
  <c r="H17" i="27"/>
  <c r="B17" i="27"/>
  <c r="M16" i="18" l="1"/>
  <c r="M17" i="18"/>
  <c r="G17" i="31" l="1"/>
  <c r="G20" i="31" s="1"/>
  <c r="E17" i="31"/>
  <c r="E20" i="31" s="1"/>
  <c r="J17" i="31"/>
  <c r="J20" i="31" s="1"/>
  <c r="D17" i="31"/>
  <c r="D20" i="31" s="1"/>
  <c r="K19" i="31"/>
  <c r="K18" i="31"/>
  <c r="H19" i="31"/>
  <c r="G21" i="14" s="1"/>
  <c r="H18" i="31"/>
  <c r="G17" i="14"/>
  <c r="H17" i="14" s="1"/>
  <c r="G16" i="14"/>
  <c r="H16" i="14" s="1"/>
  <c r="G15" i="14"/>
  <c r="H15" i="14" s="1"/>
  <c r="G14" i="14"/>
  <c r="G13" i="14"/>
  <c r="G12" i="14"/>
  <c r="G11" i="14"/>
  <c r="G10" i="14"/>
  <c r="B17" i="31"/>
  <c r="B20" i="31" s="1"/>
  <c r="I17" i="31"/>
  <c r="I20" i="31" s="1"/>
  <c r="C17" i="31"/>
  <c r="C20" i="31" s="1"/>
  <c r="A4" i="31"/>
  <c r="K3" i="31"/>
  <c r="J16" i="14"/>
  <c r="D15" i="16"/>
  <c r="I16" i="14" s="1"/>
  <c r="D14" i="16"/>
  <c r="I15" i="14" s="1"/>
  <c r="C14" i="18"/>
  <c r="F14" i="18" s="1"/>
  <c r="K21" i="18"/>
  <c r="D12" i="23"/>
  <c r="B12" i="23"/>
  <c r="D20" i="26"/>
  <c r="D19" i="26"/>
  <c r="E19" i="26" s="1"/>
  <c r="G19" i="26" s="1"/>
  <c r="C18" i="18" l="1"/>
  <c r="K16" i="14"/>
  <c r="H17" i="31"/>
  <c r="H20" i="31" s="1"/>
  <c r="K17" i="31"/>
  <c r="K20" i="31" s="1"/>
  <c r="D27" i="26"/>
  <c r="C27" i="26"/>
  <c r="F27" i="26"/>
  <c r="E26" i="26"/>
  <c r="G26" i="26" s="1"/>
  <c r="E25" i="26"/>
  <c r="E27" i="26" s="1"/>
  <c r="D18" i="23"/>
  <c r="E135" i="27" l="1"/>
  <c r="E125" i="27"/>
  <c r="E79" i="27"/>
  <c r="B9" i="29" l="1"/>
  <c r="B17" i="29" s="1"/>
  <c r="E17" i="29" l="1"/>
  <c r="D17" i="29"/>
  <c r="C17" i="29"/>
  <c r="F14" i="29"/>
  <c r="B32" i="21"/>
  <c r="D41" i="21"/>
  <c r="C41" i="21"/>
  <c r="E12" i="21" s="1"/>
  <c r="C12" i="24" l="1"/>
  <c r="G14" i="24"/>
  <c r="H14" i="24" s="1"/>
  <c r="G13" i="24"/>
  <c r="F13" i="24"/>
  <c r="E13" i="24"/>
  <c r="G11" i="24"/>
  <c r="G10" i="24"/>
  <c r="E10" i="24"/>
  <c r="D10" i="24"/>
  <c r="D17" i="24" s="1"/>
  <c r="C10" i="24"/>
  <c r="B10" i="24"/>
  <c r="B17" i="24" s="1"/>
  <c r="C69" i="24"/>
  <c r="B69" i="24"/>
  <c r="B10" i="21" l="1"/>
  <c r="B17" i="21" s="1"/>
  <c r="H21" i="14"/>
  <c r="E14" i="14"/>
  <c r="H14" i="14" s="1"/>
  <c r="E45" i="14"/>
  <c r="B47" i="17"/>
  <c r="B46" i="17"/>
  <c r="B45" i="17"/>
  <c r="B42" i="17"/>
  <c r="B41" i="17"/>
  <c r="B40" i="17"/>
  <c r="B37" i="17"/>
  <c r="B36" i="17"/>
  <c r="B35" i="17"/>
  <c r="G18" i="14"/>
  <c r="G22" i="14" s="1"/>
  <c r="C45" i="14"/>
  <c r="B45" i="14"/>
  <c r="D44" i="14"/>
  <c r="D43" i="14"/>
  <c r="D42" i="14"/>
  <c r="D41" i="14"/>
  <c r="D40" i="14"/>
  <c r="D39" i="14"/>
  <c r="H13" i="14"/>
  <c r="H12" i="14"/>
  <c r="H11" i="14"/>
  <c r="H19" i="14"/>
  <c r="F18" i="14"/>
  <c r="F22" i="14" s="1"/>
  <c r="D18" i="14"/>
  <c r="D22" i="14" s="1"/>
  <c r="E38" i="14" l="1"/>
  <c r="E18" i="14"/>
  <c r="E22" i="14" s="1"/>
  <c r="D45" i="14"/>
  <c r="H10" i="14"/>
  <c r="H20" i="17" l="1"/>
  <c r="C132" i="17"/>
  <c r="D21" i="18"/>
  <c r="D32" i="17" l="1"/>
  <c r="D28" i="17"/>
  <c r="C18" i="17"/>
  <c r="C10" i="17"/>
  <c r="B18" i="17"/>
  <c r="B10" i="17"/>
  <c r="C32" i="17"/>
  <c r="C28" i="17"/>
  <c r="E93" i="29" l="1"/>
  <c r="E20" i="29"/>
  <c r="C20" i="29" l="1"/>
  <c r="D20" i="29"/>
  <c r="J19" i="27" l="1"/>
  <c r="H21" i="18" l="1"/>
  <c r="D120" i="21" l="1"/>
  <c r="D117" i="21"/>
  <c r="D114" i="21"/>
  <c r="D111" i="21"/>
  <c r="D100" i="21"/>
  <c r="C100" i="21"/>
  <c r="G10" i="21" s="1"/>
  <c r="G17" i="21" s="1"/>
  <c r="G20" i="21" s="1"/>
  <c r="D46" i="21"/>
  <c r="C46" i="21"/>
  <c r="F13" i="21" s="1"/>
  <c r="F17" i="21" s="1"/>
  <c r="D38" i="21"/>
  <c r="C38" i="21"/>
  <c r="E13" i="21" s="1"/>
  <c r="E17" i="21" s="1"/>
  <c r="C10" i="21"/>
  <c r="C17" i="21" s="1"/>
  <c r="D13" i="21"/>
  <c r="D12" i="21"/>
  <c r="J12" i="21" s="1"/>
  <c r="J13" i="18" s="1"/>
  <c r="L13" i="18" s="1"/>
  <c r="D10" i="21"/>
  <c r="D17" i="21" s="1"/>
  <c r="D34" i="21"/>
  <c r="D28" i="21"/>
  <c r="C34" i="21"/>
  <c r="C28" i="21"/>
  <c r="C120" i="21" l="1"/>
  <c r="H14" i="21" s="1"/>
  <c r="J14" i="21" s="1"/>
  <c r="G9" i="24" l="1"/>
  <c r="D48" i="17" l="1"/>
  <c r="D43" i="17"/>
  <c r="D38" i="17"/>
  <c r="B158" i="17" l="1"/>
  <c r="F18" i="18" l="1"/>
  <c r="G15" i="18"/>
  <c r="I15" i="18" s="1"/>
  <c r="G12" i="24"/>
  <c r="H18" i="24"/>
  <c r="G19" i="18" s="1"/>
  <c r="I19" i="18" s="1"/>
  <c r="D20" i="24"/>
  <c r="F11" i="24"/>
  <c r="F17" i="24" s="1"/>
  <c r="E11" i="24"/>
  <c r="E9" i="24"/>
  <c r="C11" i="24"/>
  <c r="G69" i="24"/>
  <c r="F69" i="24"/>
  <c r="E69" i="24"/>
  <c r="D69" i="24"/>
  <c r="C17" i="24" l="1"/>
  <c r="C20" i="24" s="1"/>
  <c r="E17" i="24"/>
  <c r="H12" i="24"/>
  <c r="G13" i="18" s="1"/>
  <c r="I13" i="18" s="1"/>
  <c r="M13" i="18" s="1"/>
  <c r="G17" i="24"/>
  <c r="H9" i="24"/>
  <c r="H10" i="24"/>
  <c r="G11" i="18" s="1"/>
  <c r="I11" i="18" s="1"/>
  <c r="H13" i="24"/>
  <c r="G14" i="18" s="1"/>
  <c r="I14" i="18" s="1"/>
  <c r="H11" i="24"/>
  <c r="G12" i="18" s="1"/>
  <c r="I12" i="18" s="1"/>
  <c r="G10" i="18" l="1"/>
  <c r="H17" i="24"/>
  <c r="B13" i="16"/>
  <c r="I10" i="18" l="1"/>
  <c r="I18" i="18" s="1"/>
  <c r="G18" i="18"/>
  <c r="A4" i="17"/>
  <c r="B17" i="17"/>
  <c r="E13" i="17"/>
  <c r="E17" i="17" s="1"/>
  <c r="E21" i="17" s="1"/>
  <c r="G10" i="17"/>
  <c r="G17" i="17" s="1"/>
  <c r="G21" i="17" s="1"/>
  <c r="D56" i="17"/>
  <c r="D55" i="17"/>
  <c r="C17" i="17" l="1"/>
  <c r="C21" i="17" s="1"/>
  <c r="B21" i="17"/>
  <c r="D57" i="17"/>
  <c r="G25" i="26" l="1"/>
  <c r="G27" i="26" s="1"/>
  <c r="H20" i="27"/>
  <c r="C52" i="17" l="1"/>
  <c r="E21" i="26" l="1"/>
  <c r="G21" i="26" s="1"/>
  <c r="E20" i="26"/>
  <c r="G20" i="26" s="1"/>
  <c r="E15" i="26"/>
  <c r="G15" i="26" s="1"/>
  <c r="E14" i="26"/>
  <c r="E13" i="26"/>
  <c r="E12" i="26"/>
  <c r="G12" i="26" s="1"/>
  <c r="E11" i="26"/>
  <c r="G11" i="26" s="1"/>
  <c r="E10" i="26"/>
  <c r="G10" i="26" s="1"/>
  <c r="G14" i="26" l="1"/>
  <c r="G13" i="26"/>
  <c r="F19" i="29"/>
  <c r="F18" i="29"/>
  <c r="B20" i="29"/>
  <c r="F13" i="29"/>
  <c r="F12" i="29"/>
  <c r="F11" i="29"/>
  <c r="F10" i="29"/>
  <c r="A4" i="29"/>
  <c r="K3" i="29"/>
  <c r="F17" i="29" l="1"/>
  <c r="F20" i="29" s="1"/>
  <c r="J3" i="27" l="1"/>
  <c r="A4" i="27"/>
  <c r="J18" i="27"/>
  <c r="I20" i="27"/>
  <c r="G20" i="27"/>
  <c r="F20" i="27"/>
  <c r="E20" i="27"/>
  <c r="D20" i="27"/>
  <c r="C20" i="27"/>
  <c r="B20" i="27"/>
  <c r="J14" i="27"/>
  <c r="J13" i="27"/>
  <c r="J12" i="27"/>
  <c r="J11" i="27"/>
  <c r="J10" i="27"/>
  <c r="J9" i="27"/>
  <c r="J17" i="27" l="1"/>
  <c r="J20" i="27" s="1"/>
  <c r="F22" i="26" l="1"/>
  <c r="D22" i="26"/>
  <c r="C22" i="26"/>
  <c r="F16" i="26" l="1"/>
  <c r="F29" i="26" s="1"/>
  <c r="C16" i="26"/>
  <c r="C29" i="26" s="1"/>
  <c r="A4" i="26"/>
  <c r="G3" i="26"/>
  <c r="D16" i="26" l="1"/>
  <c r="D29" i="26" s="1"/>
  <c r="G22" i="26" l="1"/>
  <c r="E22" i="26"/>
  <c r="J19" i="21"/>
  <c r="J20" i="18" s="1"/>
  <c r="L20" i="18" s="1"/>
  <c r="J18" i="21"/>
  <c r="J19" i="18" s="1"/>
  <c r="L19" i="18" s="1"/>
  <c r="M19" i="18" s="1"/>
  <c r="J15" i="18"/>
  <c r="J9" i="21"/>
  <c r="J10" i="18" l="1"/>
  <c r="L10" i="18" s="1"/>
  <c r="L15" i="18"/>
  <c r="M15" i="18" s="1"/>
  <c r="E16" i="26"/>
  <c r="E29" i="26" s="1"/>
  <c r="M10" i="18" l="1"/>
  <c r="G16" i="26"/>
  <c r="G29" i="26" s="1"/>
  <c r="C117" i="21" l="1"/>
  <c r="H13" i="21" s="1"/>
  <c r="J13" i="21" s="1"/>
  <c r="J14" i="18" s="1"/>
  <c r="L14" i="18" s="1"/>
  <c r="M14" i="18" s="1"/>
  <c r="C114" i="21"/>
  <c r="C111" i="21"/>
  <c r="H10" i="21" s="1"/>
  <c r="C20" i="21"/>
  <c r="B20" i="21"/>
  <c r="J10" i="21" l="1"/>
  <c r="H11" i="21"/>
  <c r="J11" i="21" s="1"/>
  <c r="J12" i="18" s="1"/>
  <c r="L12" i="18" s="1"/>
  <c r="M12" i="18" s="1"/>
  <c r="F20" i="24"/>
  <c r="H17" i="21" l="1"/>
  <c r="J11" i="18"/>
  <c r="J17" i="21"/>
  <c r="I3" i="24"/>
  <c r="A4" i="24"/>
  <c r="J69" i="24"/>
  <c r="G19" i="24" s="1"/>
  <c r="E20" i="24"/>
  <c r="B20" i="24"/>
  <c r="J18" i="18" l="1"/>
  <c r="J21" i="18" s="1"/>
  <c r="L11" i="18"/>
  <c r="H19" i="24"/>
  <c r="G20" i="18" l="1"/>
  <c r="I20" i="18" s="1"/>
  <c r="M20" i="18" s="1"/>
  <c r="L18" i="18"/>
  <c r="L21" i="18" s="1"/>
  <c r="M11" i="18"/>
  <c r="M18" i="18" s="1"/>
  <c r="G20" i="24"/>
  <c r="H20" i="24"/>
  <c r="E18" i="23"/>
  <c r="C20" i="23"/>
  <c r="M21" i="18" l="1"/>
  <c r="E3" i="23"/>
  <c r="A4" i="23"/>
  <c r="E19" i="23"/>
  <c r="B20" i="23"/>
  <c r="E13" i="23"/>
  <c r="E12" i="23"/>
  <c r="E11" i="23"/>
  <c r="E10" i="23"/>
  <c r="E9" i="23"/>
  <c r="E20" i="23" l="1"/>
  <c r="C4" i="22" l="1"/>
  <c r="A4" i="22"/>
  <c r="C19" i="22"/>
  <c r="B20" i="22"/>
  <c r="C13" i="22"/>
  <c r="C12" i="22"/>
  <c r="C11" i="22"/>
  <c r="C10" i="22"/>
  <c r="C9" i="22"/>
  <c r="C20" i="22" l="1"/>
  <c r="J3" i="21" l="1"/>
  <c r="A4" i="18"/>
  <c r="A4" i="21"/>
  <c r="I20" i="21"/>
  <c r="E20" i="21"/>
  <c r="H20" i="21"/>
  <c r="F20" i="21"/>
  <c r="D20" i="21"/>
  <c r="J20" i="21" l="1"/>
  <c r="C17" i="16" l="1"/>
  <c r="C21" i="16" s="1"/>
  <c r="B20" i="16"/>
  <c r="M3" i="18" l="1"/>
  <c r="G21" i="18"/>
  <c r="B21" i="18"/>
  <c r="I21" i="18" l="1"/>
  <c r="C21" i="18"/>
  <c r="C156" i="17" l="1"/>
  <c r="H13" i="17" s="1"/>
  <c r="C159" i="17"/>
  <c r="H14" i="17" s="1"/>
  <c r="I14" i="17" s="1"/>
  <c r="J15" i="14" s="1"/>
  <c r="K15" i="14" s="1"/>
  <c r="C153" i="17"/>
  <c r="H11" i="17" s="1"/>
  <c r="C149" i="17"/>
  <c r="H10" i="17" s="1"/>
  <c r="A4" i="16"/>
  <c r="H17" i="17" l="1"/>
  <c r="H21" i="17" s="1"/>
  <c r="C57" i="17"/>
  <c r="F13" i="17" s="1"/>
  <c r="F17" i="17" s="1"/>
  <c r="F21" i="17" s="1"/>
  <c r="C48" i="17"/>
  <c r="D13" i="17" s="1"/>
  <c r="C43" i="17"/>
  <c r="D12" i="17" s="1"/>
  <c r="C38" i="17"/>
  <c r="D10" i="17" s="1"/>
  <c r="D17" i="17" l="1"/>
  <c r="I3" i="17"/>
  <c r="I13" i="17"/>
  <c r="J14" i="14" s="1"/>
  <c r="I12" i="17"/>
  <c r="J13" i="14" s="1"/>
  <c r="I20" i="17"/>
  <c r="J21" i="14" s="1"/>
  <c r="I18" i="17"/>
  <c r="J19" i="14" s="1"/>
  <c r="I16" i="17"/>
  <c r="J17" i="14" s="1"/>
  <c r="I11" i="17"/>
  <c r="J12" i="14" s="1"/>
  <c r="I9" i="17"/>
  <c r="J10" i="14" s="1"/>
  <c r="D21" i="17" l="1"/>
  <c r="I10" i="17"/>
  <c r="I17" i="17" l="1"/>
  <c r="I21" i="17" s="1"/>
  <c r="J11" i="14"/>
  <c r="G3" i="16" l="1"/>
  <c r="D38" i="16"/>
  <c r="B38" i="16"/>
  <c r="C34" i="16"/>
  <c r="G34" i="16" s="1"/>
  <c r="G38" i="16" s="1"/>
  <c r="D20" i="16"/>
  <c r="I21" i="14" s="1"/>
  <c r="D18" i="16"/>
  <c r="I19" i="14" s="1"/>
  <c r="B17" i="16"/>
  <c r="B21" i="16" s="1"/>
  <c r="D16" i="16"/>
  <c r="I17" i="14" s="1"/>
  <c r="K17" i="14" s="1"/>
  <c r="D13" i="16"/>
  <c r="I14" i="14" s="1"/>
  <c r="D12" i="16"/>
  <c r="I13" i="14" s="1"/>
  <c r="D11" i="16"/>
  <c r="I12" i="14" s="1"/>
  <c r="D10" i="16"/>
  <c r="I11" i="14" s="1"/>
  <c r="I10" i="14"/>
  <c r="E38" i="16" l="1"/>
  <c r="D17" i="16"/>
  <c r="D21" i="16" s="1"/>
  <c r="C38" i="16"/>
  <c r="J18" i="14" l="1"/>
  <c r="J22" i="14" s="1"/>
  <c r="I18" i="14" l="1"/>
  <c r="I22" i="14" s="1"/>
  <c r="C18" i="14" l="1"/>
  <c r="C22" i="14" s="1"/>
  <c r="K19" i="14"/>
  <c r="K14" i="14" l="1"/>
  <c r="K13" i="14"/>
  <c r="K12" i="14"/>
  <c r="K11" i="14"/>
  <c r="B18" i="14"/>
  <c r="B22" i="14" s="1"/>
  <c r="K21" i="14" l="1"/>
  <c r="K10" i="14"/>
  <c r="K18" i="14" s="1"/>
  <c r="K22" i="14" l="1"/>
  <c r="H18" i="14"/>
  <c r="H22" i="14" s="1"/>
  <c r="D15" i="6" l="1"/>
  <c r="D18" i="6" s="1"/>
  <c r="C15" i="6"/>
  <c r="C18" i="6" s="1"/>
  <c r="B15" i="6"/>
  <c r="B18" i="6" s="1"/>
  <c r="E15" i="6"/>
  <c r="E18" i="6" s="1"/>
  <c r="A4" i="6"/>
  <c r="E2" i="6"/>
</calcChain>
</file>

<file path=xl/sharedStrings.xml><?xml version="1.0" encoding="utf-8"?>
<sst xmlns="http://schemas.openxmlformats.org/spreadsheetml/2006/main" count="1423" uniqueCount="558">
  <si>
    <t>Undesignated</t>
  </si>
  <si>
    <t>Designated</t>
  </si>
  <si>
    <t>Fees</t>
  </si>
  <si>
    <t>Grand</t>
  </si>
  <si>
    <t>Total</t>
  </si>
  <si>
    <t>Base
Designated
Allocation</t>
  </si>
  <si>
    <t>Base
Fee
Allocation</t>
  </si>
  <si>
    <t>Attachment B</t>
  </si>
  <si>
    <t>Attachment C</t>
  </si>
  <si>
    <t>Office of the President</t>
  </si>
  <si>
    <t>Academic Affairs</t>
  </si>
  <si>
    <t>Administrative Affairs</t>
  </si>
  <si>
    <t>IT</t>
  </si>
  <si>
    <t>Student Affairs</t>
  </si>
  <si>
    <t>University Advancement</t>
  </si>
  <si>
    <t>Division Total</t>
  </si>
  <si>
    <t>University Level Financial Aid</t>
  </si>
  <si>
    <t>University Level</t>
  </si>
  <si>
    <t>CPP Campus Total</t>
  </si>
  <si>
    <t>25-26
Base
Designated
Allocation</t>
  </si>
  <si>
    <t xml:space="preserve"> -   </t>
  </si>
  <si>
    <t xml:space="preserve"> A detail listing is on the following page</t>
  </si>
  <si>
    <t>Designations</t>
  </si>
  <si>
    <t>PRESIDENTS</t>
  </si>
  <si>
    <t>ACADEMIC</t>
  </si>
  <si>
    <t>STUDENT</t>
  </si>
  <si>
    <t>TOTAL</t>
  </si>
  <si>
    <t>OFFICE</t>
  </si>
  <si>
    <t>AFFAIRS</t>
  </si>
  <si>
    <t>C1460 - AB1460 Ethnic Studies</t>
  </si>
  <si>
    <t>C3189 - Renaissance Scholars</t>
  </si>
  <si>
    <t>C3285 - Academic Student Success Prgrm</t>
  </si>
  <si>
    <t>C3344 - Student Success RFP</t>
  </si>
  <si>
    <t>C3371 - Disability Accomodation</t>
  </si>
  <si>
    <t>C3389 - Project Rebound</t>
  </si>
  <si>
    <t>GI 2025 - Tenure Track Faculty</t>
  </si>
  <si>
    <t>GI 2025</t>
  </si>
  <si>
    <t>Financial Aid</t>
  </si>
  <si>
    <t>Basic Needs (C3371 &amp; C3360)</t>
  </si>
  <si>
    <t>Catetory I
Doctoral
Differential
Fee</t>
  </si>
  <si>
    <t>Category I
Graduate Business Prof Fee</t>
  </si>
  <si>
    <t xml:space="preserve">
Category II Student Success
Fee</t>
  </si>
  <si>
    <t>Category II
Student Health
Fee</t>
  </si>
  <si>
    <t>Category II
Orientation &amp; Photo ID
Fee</t>
  </si>
  <si>
    <t>Category III
Misc. Course Fees</t>
  </si>
  <si>
    <t>Category IV
Fees</t>
  </si>
  <si>
    <t>Note: Allocation is based on estimated revenue and should cover all expenses including benefits.</t>
  </si>
  <si>
    <t>Category I</t>
  </si>
  <si>
    <t>Doctoral Fee - College Portion</t>
  </si>
  <si>
    <t>Doctoral Fee - Financial Aid</t>
  </si>
  <si>
    <t>Total Academic Affairs</t>
  </si>
  <si>
    <t>Graduate Professional Fee</t>
  </si>
  <si>
    <t>Category II - Student Success Fee</t>
  </si>
  <si>
    <t>Improve your classroom experience</t>
  </si>
  <si>
    <t>Support your academic success</t>
  </si>
  <si>
    <t>Enrich your path to graduation</t>
  </si>
  <si>
    <t>Strengthen your Wi-Fi and network connection</t>
  </si>
  <si>
    <t>Expand your IT help desk</t>
  </si>
  <si>
    <t>Access upgraded technology</t>
  </si>
  <si>
    <t>Total IT</t>
  </si>
  <si>
    <t>Support Bronco pride</t>
  </si>
  <si>
    <t>Embrace diversity and veterans</t>
  </si>
  <si>
    <t>Fund student project lab</t>
  </si>
  <si>
    <t>Total Student Affairs</t>
  </si>
  <si>
    <t>Category II - Student Health</t>
  </si>
  <si>
    <t>Student Health Fee</t>
  </si>
  <si>
    <t>Category II - Orientation*</t>
  </si>
  <si>
    <t>Orientation Fee</t>
  </si>
  <si>
    <t>Photo ID</t>
  </si>
  <si>
    <t>Category III - Misc. Course Fees</t>
  </si>
  <si>
    <t>AH202 - Clinical Anatomy Lab</t>
  </si>
  <si>
    <t>*</t>
  </si>
  <si>
    <t>AH335 - AHS 3235L - Lb Prcdr Clnc Path</t>
  </si>
  <si>
    <t>AH363 - AHS 3263L - Srgcl Nursng Sklls</t>
  </si>
  <si>
    <t>AH369 - Lab Animal Mgmt Rules &amp; Reg</t>
  </si>
  <si>
    <t>AH407 - AH407-Critical Care</t>
  </si>
  <si>
    <t>AM265 - AMM 2605L - Footwear Materials</t>
  </si>
  <si>
    <t>AM280 - AMM 2800L - Apprl Cstrctn Qlty</t>
  </si>
  <si>
    <t>AM360 - AMM 3600L - Txtle Qlty Assrnce</t>
  </si>
  <si>
    <t>AM414 - AMM 4140L - Apprl Prd Dev Sim</t>
  </si>
  <si>
    <t>AV114 - Food Animal Science Lab</t>
  </si>
  <si>
    <t>AV125 - Equine Management Lab</t>
  </si>
  <si>
    <t>AV350 - Anat &amp; Phys of Domestic Animal</t>
  </si>
  <si>
    <t>AV430 - Biotech App in Animal Science</t>
  </si>
  <si>
    <t>BI111 - BIO111L - Life Science Lab</t>
  </si>
  <si>
    <t>BI115 - BIO115L - Basic Biology Lab</t>
  </si>
  <si>
    <t>BI121 - BIO121L - Energy &amp; Matter Lab</t>
  </si>
  <si>
    <t>BI122 - BIO1220L-Foundations of Bio</t>
  </si>
  <si>
    <t>BI206 - BIO2060L-Basic Micro Lab</t>
  </si>
  <si>
    <t>BI235 - BIO235L - Human Physiology</t>
  </si>
  <si>
    <t>BI440 - BI440 - Stem Cell Lab</t>
  </si>
  <si>
    <t>BI463 - BIO4635L - Med MicroBio Lab</t>
  </si>
  <si>
    <t>BI465 - BI465 - Immunology Lab</t>
  </si>
  <si>
    <t>BI467 - BIO4670L-Gen Virology Lab Fee</t>
  </si>
  <si>
    <t>BI470 - BIO4700L - Hematology Lab</t>
  </si>
  <si>
    <t>CE320 - CE3201L-Environ Resource Mgmt</t>
  </si>
  <si>
    <t>CE340 - CE3401L-Geotechnical Engineer</t>
  </si>
  <si>
    <t>CE420 - CE4201L-Water Supply Lab Fee</t>
  </si>
  <si>
    <t>CE543 - CE5431L-Subsurface Explor &amp; Ch</t>
  </si>
  <si>
    <t>CH201 - CHM2010-Elemt Organic Chem Lab</t>
  </si>
  <si>
    <t>CH221 - CHM221L - Quantitative Analys</t>
  </si>
  <si>
    <t>CH314 - CHM3140L-Organic Chem I Lab</t>
  </si>
  <si>
    <t>CH315 - CHM3150L-Organic Chemistry II</t>
  </si>
  <si>
    <t>CH327 - CH3270L-Biochemistry Lab I</t>
  </si>
  <si>
    <t>EBK01 - E-Book Fee</t>
  </si>
  <si>
    <t>EE100 - ECE Lab Fee</t>
  </si>
  <si>
    <t>FS427 - FS4271L-Food Processing</t>
  </si>
  <si>
    <t>HT250 - HRT2550-Healthy Amer Cuisine</t>
  </si>
  <si>
    <t>HT281 - HRT281-Professional Cook</t>
  </si>
  <si>
    <t>HT312 - HRT 312-Beer and Culture</t>
  </si>
  <si>
    <t>HT315 - HRT315-Wines,Beer,Spirit</t>
  </si>
  <si>
    <t>HT324 - HRT324-World Cuisine</t>
  </si>
  <si>
    <t>HT325 - HRT325-Prof Health Cooking</t>
  </si>
  <si>
    <t>HT381 - HRT381-Professional Cook I</t>
  </si>
  <si>
    <t>MF201 - Manufact Sys and Proc Lab Fee</t>
  </si>
  <si>
    <t>NT121 - NTR1210L-Intro to Food</t>
  </si>
  <si>
    <t>PL112 - PLT1120L-Landscape Horticultur</t>
  </si>
  <si>
    <t>TX005 - Dietetic Internship</t>
  </si>
  <si>
    <t>TX011 - ADA Trans Evaluation</t>
  </si>
  <si>
    <t>VC312 - VCD1312A-Begin Life Drawing</t>
  </si>
  <si>
    <t>VC330 - VCD1330A-Intro to Clay</t>
  </si>
  <si>
    <t>VC361 - VCD3361A-Life Drawing</t>
  </si>
  <si>
    <t>VC363 - VCD3363A-Printmaking</t>
  </si>
  <si>
    <t>VC364 - VCD3364A-Ceramica</t>
  </si>
  <si>
    <t>VC365 - VCD3365A-Fundamental of Sculp</t>
  </si>
  <si>
    <t>*Adjusted to reflect a fee increase</t>
  </si>
  <si>
    <t>Category IV User Fee</t>
  </si>
  <si>
    <t>63462 - Registrar's Office</t>
  </si>
  <si>
    <t>C4401 - Chemistry</t>
  </si>
  <si>
    <t>C4403 - Diploma</t>
  </si>
  <si>
    <t>C4404 - Physical Education</t>
  </si>
  <si>
    <t>C4406 - Library Obligations</t>
  </si>
  <si>
    <t>C4407 - Library Fines/Late Fees</t>
  </si>
  <si>
    <t>C4413 - Math/Calculus Placement</t>
  </si>
  <si>
    <t>C4415 - Special Exam Revenue</t>
  </si>
  <si>
    <t>TX019 - Credential Evaluation</t>
  </si>
  <si>
    <t>TX038 - Grad Writing Test</t>
  </si>
  <si>
    <t>TX040 - IGE Trust</t>
  </si>
  <si>
    <t>TX048 - PCPT</t>
  </si>
  <si>
    <t>TX051 - Musical Instrument Repair</t>
  </si>
  <si>
    <t>TX058 - Proj &amp; Thesis Binding</t>
  </si>
  <si>
    <t>TX008 - Univ Acctg</t>
  </si>
  <si>
    <t>Total Admin Affairs</t>
  </si>
  <si>
    <t>501813 - Medical Services</t>
  </si>
  <si>
    <t>C4402 - Commencement</t>
  </si>
  <si>
    <t>Total Advancement</t>
  </si>
  <si>
    <t>Attachment E</t>
  </si>
  <si>
    <t>Attachment F</t>
  </si>
  <si>
    <t>Carryforward</t>
  </si>
  <si>
    <t>(5)</t>
  </si>
  <si>
    <t>GI 2025 for Tenure Density</t>
  </si>
  <si>
    <t>Student Success RFP</t>
  </si>
  <si>
    <t xml:space="preserve"> </t>
  </si>
  <si>
    <t>Designation is based on CO's designation and not campus-level designation.</t>
  </si>
  <si>
    <t>(1) Carryforward from Designated funds for tenure density, C3361</t>
  </si>
  <si>
    <t xml:space="preserve">(2) Carryforward from Designated funds for GI2025, C336X.  </t>
  </si>
  <si>
    <t>(3) Cal-Bridge program Carryforward funds, C3431</t>
  </si>
  <si>
    <t>(4) Student Success RFP Carryforward funds, C3344</t>
  </si>
  <si>
    <t xml:space="preserve">(6) Other Designated includes the remaining Designated funds; see the breakdown on the next page. </t>
  </si>
  <si>
    <t xml:space="preserve"> A detail listing is on the following page.</t>
  </si>
  <si>
    <t>ADMIN</t>
  </si>
  <si>
    <t>UNIVERSITY</t>
  </si>
  <si>
    <t>Category</t>
  </si>
  <si>
    <t>ADVANCEMENT</t>
  </si>
  <si>
    <t>C1005 - Research &amp; Creative Activity</t>
  </si>
  <si>
    <t>Other Designated</t>
  </si>
  <si>
    <t>C1014 - Service Learning</t>
  </si>
  <si>
    <t>C1028 - SB24-Stdnt Right to Access Pgm</t>
  </si>
  <si>
    <t>C1029 - Title IX</t>
  </si>
  <si>
    <t>C1030 - Lanterman, Phase 1</t>
  </si>
  <si>
    <t>C3043 - Job Location &amp; Dev</t>
  </si>
  <si>
    <t>C3157 - Chancellor's FinAid Funds</t>
  </si>
  <si>
    <t>C3191 - Articulation Support</t>
  </si>
  <si>
    <t>C3218 - Math/Science Initiative</t>
  </si>
  <si>
    <t>C3257 - CO TEACH Fund</t>
  </si>
  <si>
    <t>(a)</t>
  </si>
  <si>
    <t>C3360 - SSCI - GI2025</t>
  </si>
  <si>
    <t>(b)</t>
  </si>
  <si>
    <t>C3366 - SSCI - Data-Driven Decisions</t>
  </si>
  <si>
    <t>C3371 - Disability Accommodations</t>
  </si>
  <si>
    <t>Basic Needs</t>
  </si>
  <si>
    <t>C3418 - Fac Prf Dev &amp; Eq Opp Practices</t>
  </si>
  <si>
    <t>C3431 - Cal-Bridge Program</t>
  </si>
  <si>
    <t>C3454 - CPP UNIVERSITY FARMS</t>
  </si>
  <si>
    <t>C3464 - AANHPI Program</t>
  </si>
  <si>
    <t>C3469 - Black Student Success</t>
  </si>
  <si>
    <t>C3474 - Alumni Student Connections</t>
  </si>
  <si>
    <t>C3480 - Time,Place,Manner Allocation</t>
  </si>
  <si>
    <t>C3491 - AI Educ Innovations Challenge</t>
  </si>
  <si>
    <t>TX068 - Teacher Prep Reading</t>
  </si>
  <si>
    <t>(a) balances in these class codes can be combined and redistributed</t>
  </si>
  <si>
    <t>(b) balances in these class codes can be combined and redistributed since they are all classified as GI2025</t>
  </si>
  <si>
    <t>Category I
Doctoral
Differential
Fee</t>
  </si>
  <si>
    <t xml:space="preserve">Centrally Managed
</t>
  </si>
  <si>
    <t>Total Carryforward</t>
  </si>
  <si>
    <t>Fee Adjustment (1)</t>
  </si>
  <si>
    <t>Doctoral Differential</t>
  </si>
  <si>
    <t>CE127 - CE127-Civil Engin Lab Fee</t>
  </si>
  <si>
    <t>CH121 - CHM 1210L-General Chemistry</t>
  </si>
  <si>
    <t>CH122 - CHM 1220L-General Chemistry</t>
  </si>
  <si>
    <t>HT255 - HRT255-Health AmerCuisine</t>
  </si>
  <si>
    <t>C4410 - KHP - Swimming Fee</t>
  </si>
  <si>
    <t>C4418 - Medical Services</t>
  </si>
  <si>
    <t>Division</t>
  </si>
  <si>
    <t>Fund</t>
  </si>
  <si>
    <t>Dept ID</t>
  </si>
  <si>
    <t>Class</t>
  </si>
  <si>
    <t>Amounts</t>
  </si>
  <si>
    <t>Column Labels</t>
  </si>
  <si>
    <t>Row Labels</t>
  </si>
  <si>
    <t>Grand Total</t>
  </si>
  <si>
    <t>State University Grant</t>
  </si>
  <si>
    <t>State EOP Grant Program</t>
  </si>
  <si>
    <t>State Graduate Fellowship</t>
  </si>
  <si>
    <t>Institutional Scholarships/Grants</t>
  </si>
  <si>
    <t>Summer Enrollment Grant</t>
  </si>
  <si>
    <t>Emergency Grants - CARES</t>
  </si>
  <si>
    <t>Undesignated Total</t>
  </si>
  <si>
    <t>Doctoral Differential Fee (10%)</t>
  </si>
  <si>
    <t>Graduate Business Professional Fee (25%)</t>
  </si>
  <si>
    <t>TK274 - Cal Poly Pomona Grant</t>
  </si>
  <si>
    <t>Fees Total</t>
  </si>
  <si>
    <t>Lottery</t>
  </si>
  <si>
    <t>IFT 23-0086 Scholarship Post Bac</t>
  </si>
  <si>
    <t>University Financial Aid</t>
  </si>
  <si>
    <t>PCR01
Internal Sources</t>
  </si>
  <si>
    <t>PCR02
External Sources</t>
  </si>
  <si>
    <t>PCR04
Acad Fac Space Rental</t>
  </si>
  <si>
    <t>PCR05
Theater Space Rental</t>
  </si>
  <si>
    <t>PCR06
Film &amp; Photo Shoot</t>
  </si>
  <si>
    <t>PCR07
Capital Proj Mgmt</t>
  </si>
  <si>
    <t>PCR08
Capital Proj Utilities Conn</t>
  </si>
  <si>
    <t>PCR10
AB798 Textbook</t>
  </si>
  <si>
    <t xml:space="preserve">           All PCR budgets should be posted as 'Adjustment' budget scenario.</t>
  </si>
  <si>
    <t xml:space="preserve">          *Division are encouraged to streamline class codes when posting budget for revenues and expenses.  BPA will not enforce the class codes as listed below.</t>
  </si>
  <si>
    <t>Class*</t>
  </si>
  <si>
    <t>Est. Budget</t>
  </si>
  <si>
    <t>PCR01 - COST RECOVERY-INTERNAL SOURCES</t>
  </si>
  <si>
    <t>ACADEMIC AFFAIRS</t>
  </si>
  <si>
    <t>20000</t>
  </si>
  <si>
    <t>20001</t>
  </si>
  <si>
    <t>30200</t>
  </si>
  <si>
    <t>50700</t>
  </si>
  <si>
    <t>55800</t>
  </si>
  <si>
    <t>63700</t>
  </si>
  <si>
    <t>ADMIN AFFAIRS</t>
  </si>
  <si>
    <t>67400</t>
  </si>
  <si>
    <t>67700</t>
  </si>
  <si>
    <t>67900</t>
  </si>
  <si>
    <t>69100</t>
  </si>
  <si>
    <t>69300</t>
  </si>
  <si>
    <t>70100</t>
  </si>
  <si>
    <t>70800</t>
  </si>
  <si>
    <t>71063</t>
  </si>
  <si>
    <t>71100</t>
  </si>
  <si>
    <t>71201</t>
  </si>
  <si>
    <t>71202</t>
  </si>
  <si>
    <t>71204</t>
  </si>
  <si>
    <t>71205</t>
  </si>
  <si>
    <t>71300</t>
  </si>
  <si>
    <t>71360</t>
  </si>
  <si>
    <t>71400</t>
  </si>
  <si>
    <t>71501</t>
  </si>
  <si>
    <t>71504</t>
  </si>
  <si>
    <t>72100</t>
  </si>
  <si>
    <t>72664</t>
  </si>
  <si>
    <t>72675</t>
  </si>
  <si>
    <t>72678</t>
  </si>
  <si>
    <t>72679</t>
  </si>
  <si>
    <t>72681</t>
  </si>
  <si>
    <t>75000</t>
  </si>
  <si>
    <t>96000</t>
  </si>
  <si>
    <t>INFORMATION TECH</t>
  </si>
  <si>
    <t>34063</t>
  </si>
  <si>
    <t>C5211 - IT NETWORKS</t>
  </si>
  <si>
    <t>C5212 - IT CLASSROOM TECH</t>
  </si>
  <si>
    <t>C5213 - DIGITAL SIGNAGE</t>
  </si>
  <si>
    <t>69600</t>
  </si>
  <si>
    <t>69610</t>
  </si>
  <si>
    <t>69710</t>
  </si>
  <si>
    <t>69720</t>
  </si>
  <si>
    <t>69730</t>
  </si>
  <si>
    <t>69740</t>
  </si>
  <si>
    <t>PRESIDENTS OFFICE</t>
  </si>
  <si>
    <t>73700</t>
  </si>
  <si>
    <t>STUDENT AFFAIRS</t>
  </si>
  <si>
    <t>61500</t>
  </si>
  <si>
    <t>63000</t>
  </si>
  <si>
    <t>UNIV ADVANCEMENT</t>
  </si>
  <si>
    <t>74300</t>
  </si>
  <si>
    <t>PCR02 - COST RECOVERY-EXTERNAL SOURCES</t>
  </si>
  <si>
    <t>41200</t>
  </si>
  <si>
    <t>44500</t>
  </si>
  <si>
    <t>73750</t>
  </si>
  <si>
    <t>74400</t>
  </si>
  <si>
    <t>74600</t>
  </si>
  <si>
    <t>74800</t>
  </si>
  <si>
    <t>PCR04 - ACAD FACILITY SPACE RENTAL</t>
  </si>
  <si>
    <t>72010</t>
  </si>
  <si>
    <t>72600</t>
  </si>
  <si>
    <t>PCR05 - THEATRE SPACE RENTAL</t>
  </si>
  <si>
    <t>TX107 - RENT OF FACILITIES-THEATRE</t>
  </si>
  <si>
    <t>TX116 - FILMING AND PHOTO SHOOTS</t>
  </si>
  <si>
    <t>PCR07 - CAPITAL PROJECT MANAGEMENT</t>
  </si>
  <si>
    <t>96264</t>
  </si>
  <si>
    <t>Sum of Est. Budget</t>
  </si>
  <si>
    <t>67900 - Student Aid Accting &amp; Cashiers</t>
  </si>
  <si>
    <t>70800 - Motorpool</t>
  </si>
  <si>
    <t>71360 - Facilities-Landscape MOU's</t>
  </si>
  <si>
    <t>22761 - Agric Ed SDE Contract</t>
  </si>
  <si>
    <t>74600 - Development</t>
  </si>
  <si>
    <t>30200 - Theatre and New Dance</t>
  </si>
  <si>
    <t>Attachment F: Financial Aid</t>
  </si>
  <si>
    <t>IT&amp;IP</t>
  </si>
  <si>
    <t>BPA #26-01</t>
  </si>
  <si>
    <t>Doctoral Fee - University Level (Undesignated)</t>
  </si>
  <si>
    <t>AH129 - AHS 1129L Animal Handling</t>
  </si>
  <si>
    <t>AH208 - AHS 2208L Diagnostic Imaging</t>
  </si>
  <si>
    <t>AH305 - AHS 3305L Parasitology</t>
  </si>
  <si>
    <t>AH342 - AHS 3042L Dentistry Skills</t>
  </si>
  <si>
    <t>AH420 - AHS 4200L Lrg Anml Medicine</t>
  </si>
  <si>
    <t>AV115 - AVS 1115L Companion Anml Mgt</t>
  </si>
  <si>
    <t>AV414 - AVS 4214L Mammalian Reprod</t>
  </si>
  <si>
    <t>CH120 - CH120 - General Chemistry</t>
  </si>
  <si>
    <t>AMM 1600L-Intro to Textile Science Lab</t>
  </si>
  <si>
    <t>AMM 1800L - Intro Fashion Dsgn</t>
  </si>
  <si>
    <t>AMM 2400A-Draping Fashion Dsgn</t>
  </si>
  <si>
    <t>AMM 3810L Fashion Mass Production Lab</t>
  </si>
  <si>
    <t>AMM4970L - Fashion Retail Simulation Lab</t>
  </si>
  <si>
    <t>FST 3180L-Sensory Evaluation of Foods Laboratory</t>
  </si>
  <si>
    <t xml:space="preserve">FST 4290L-Food Product Development Laboratory </t>
  </si>
  <si>
    <t>*Based on a total est. revenue of $1,287,574 split between $189.29 for Orientation (96.43%) and $7 for Photo ID (3.57%).</t>
  </si>
  <si>
    <t>*New fee</t>
  </si>
  <si>
    <t xml:space="preserve">Attachment A: FY26-27 General Fund Base Budget Allocation </t>
  </si>
  <si>
    <t>25-26 Base
Allocation</t>
  </si>
  <si>
    <t>2026-27</t>
  </si>
  <si>
    <t>(1) FY25-26 Undesignated base budget according to allocation memo #25-01.</t>
  </si>
  <si>
    <t>26-27
Base
Designated
Allocation</t>
  </si>
  <si>
    <t>Attachment B: FY26-27 General Fund Base Designated Allocation</t>
  </si>
  <si>
    <t>25-26 
CSUEU Steps</t>
  </si>
  <si>
    <t>25-26  Compensation &amp; O/E</t>
  </si>
  <si>
    <t>26-27 Adjustments</t>
  </si>
  <si>
    <t>24-25 Unfunded Compensation</t>
  </si>
  <si>
    <t>(2) Base adjustments to replace recurring one-time funds (Memo BPA #25-01, Attachment D, Column (4)).</t>
  </si>
  <si>
    <t>(3) Base adjustments to replace recurring one-time funds (Memo BPA #25-01, Attachment D, Column (5)).</t>
  </si>
  <si>
    <t>24-25 Division Funded Compensation (#24-01R)</t>
  </si>
  <si>
    <t>CO Funded</t>
  </si>
  <si>
    <t>Div Funded</t>
  </si>
  <si>
    <t>Salaries</t>
  </si>
  <si>
    <t>(5) FY24-25 Unfunded Compensation:</t>
  </si>
  <si>
    <t>25-26
Ending Base
Allocation</t>
  </si>
  <si>
    <t>26-27
Base Budget
Allocation</t>
  </si>
  <si>
    <r>
      <t xml:space="preserve">      University Level Financial Aid contains $51,558,000 SUG, $832,210 State EOP Grant Program, $30,199 State Graduate Fellowship</t>
    </r>
    <r>
      <rPr>
        <b/>
        <sz val="11"/>
        <color theme="1"/>
        <rFont val="Calibri"/>
        <family val="2"/>
        <scheme val="minor"/>
      </rPr>
      <t>.</t>
    </r>
  </si>
  <si>
    <t>Attachment C: FY26-27 General Fund Base Fee Allocation</t>
  </si>
  <si>
    <t>Allocation</t>
  </si>
  <si>
    <t>Attachment D: FY26-27 General Fund Carryforward &amp; One-Time Fund Allocation</t>
  </si>
  <si>
    <t>25-26
Year-End Balance</t>
  </si>
  <si>
    <t>26-27
One-Time Adjustment</t>
  </si>
  <si>
    <t>26-27
One-Time 
Adjustment</t>
  </si>
  <si>
    <t>26-27 Carryforward &amp; One-Time Allocation</t>
  </si>
  <si>
    <t>Attachment F: FY26-27 General Fund Fees Carryforward &amp; One-Time Fund Allocation</t>
  </si>
  <si>
    <t>Attachment E: FY26-27 General Fund Designated Carryforward &amp; One-Time Fund Allocation</t>
  </si>
  <si>
    <t>26-27 Total
Carryforward Allocation</t>
  </si>
  <si>
    <t>26-27
Carryforward Allocation</t>
  </si>
  <si>
    <t>ME415 - BKS Heat Transfer</t>
  </si>
  <si>
    <t>June 2026</t>
  </si>
  <si>
    <t>(1) June Fee Adjustment (QST1412, QST1413, QST1418) is based on truing up allocations to actuals.  Amounts are included in the total Carryforward balances.</t>
  </si>
  <si>
    <t>C3189 - Renasisance Scholars</t>
  </si>
  <si>
    <t>C3199 - Textbook Affordability</t>
  </si>
  <si>
    <t>C3361 - GI - Tenure-Line Faculty</t>
  </si>
  <si>
    <t>C3362 - GI - Advising &amp; Retention</t>
  </si>
  <si>
    <t>C3363 - GI - Bottleneck Solutions</t>
  </si>
  <si>
    <t>C3364 - GI- Enrollment &amp; Student Prep</t>
  </si>
  <si>
    <t>C3365 - GI- High Impact Practices</t>
  </si>
  <si>
    <t>C3372 - Hunger-Free Campus Designation</t>
  </si>
  <si>
    <t>C3498 - Rapid Rehousing Designated</t>
  </si>
  <si>
    <t>Cal-Bridge</t>
  </si>
  <si>
    <t xml:space="preserve">(5) Student basic needs Carryforward funds, C337x. </t>
  </si>
  <si>
    <t>Attachment K: FY26-27 Cost Recovery Projected Revenue Allocation</t>
  </si>
  <si>
    <t>26-27
Budget
 Allocation</t>
  </si>
  <si>
    <t>26-27
Carryforward
 Allocation</t>
  </si>
  <si>
    <t>Attachment L: FY26-27 Cost Recovery Carryforward &amp; One-Time Fund Allocation</t>
  </si>
  <si>
    <t>June 2026 Year-End Allocation Adjustments (1)</t>
  </si>
  <si>
    <t>(1) June PCR revenue adjustment (QST1414 and QST1417) is based on truing up allocations to actuals.  Amounts are included in the total Carryforward balances.</t>
  </si>
  <si>
    <t>Attachment J: FY26-27 Lottery Carryforward Allocation</t>
  </si>
  <si>
    <t>25-26
Year-End
Balance
TY006</t>
  </si>
  <si>
    <t>25-26
Year-End
Balance
TY017</t>
  </si>
  <si>
    <t>25-26
Year-End
Balance
TY033</t>
  </si>
  <si>
    <t>Attachment H: FY26-27 Financial Aid Summary</t>
  </si>
  <si>
    <t>25-26
Base
Allocation</t>
  </si>
  <si>
    <t>26-27
Base
Adjustment</t>
  </si>
  <si>
    <t>26-27
Base 
Financial Aid</t>
  </si>
  <si>
    <t>26-27
Financial Aid
Allocation</t>
  </si>
  <si>
    <t>Attachment I: FY26-27 Lottery Fund Base Allocation</t>
  </si>
  <si>
    <t>00000 - NO CLASS VALUE</t>
  </si>
  <si>
    <t>C5005 - PRINT MIMEO</t>
  </si>
  <si>
    <t>C3315 - POSTAGE/DELIVERY SVC</t>
  </si>
  <si>
    <t>74310</t>
  </si>
  <si>
    <t>74610</t>
  </si>
  <si>
    <t>TX110 - LOF - RENTAL OF FACILITIES</t>
  </si>
  <si>
    <t>C5150 - PRODUCTION SERVICES FUNDS</t>
  </si>
  <si>
    <t>C5200 - AUXILIARY CB</t>
  </si>
  <si>
    <t>C5210 - NETWORK AUXILIARY</t>
  </si>
  <si>
    <t>C5230 - COMPUTER BULK BUY</t>
  </si>
  <si>
    <t>C5240 - MOU SPECIFIC AA</t>
  </si>
  <si>
    <t>C3344 - STUDENT SUCCESS RFP</t>
  </si>
  <si>
    <t>C3188 - I-POLY LEASE</t>
  </si>
  <si>
    <t>21000</t>
  </si>
  <si>
    <t>62100</t>
  </si>
  <si>
    <t xml:space="preserve">Note: Projected budgets are based on submitted recurring revenue projections. </t>
  </si>
  <si>
    <t>16910 - Student Success</t>
  </si>
  <si>
    <t>20000 - VP Academic Affairs Office</t>
  </si>
  <si>
    <t>29701 - CLASS Dean's Instruction Supp</t>
  </si>
  <si>
    <t>48400 - Architecture</t>
  </si>
  <si>
    <t>C3194 - LASER CUTTING</t>
  </si>
  <si>
    <t>C3195 - 3D PRINTING - PLASTIC</t>
  </si>
  <si>
    <t>C3196 - 3D PRINTING - POWDER</t>
  </si>
  <si>
    <t>54301 - CEIS Dean's Instructional Supp</t>
  </si>
  <si>
    <t>55800 - Library</t>
  </si>
  <si>
    <t>63300 - Outreach, Recruit  Educ Partn</t>
  </si>
  <si>
    <t>65900 - Environmental Health &amp; Safety</t>
  </si>
  <si>
    <t>C3407 - OCCUPATIONAL SAFETY PROGRAM</t>
  </si>
  <si>
    <t>67700 - Accounting Services</t>
  </si>
  <si>
    <t>69100 - Graphics Communications</t>
  </si>
  <si>
    <t>69300 - Distribution Services</t>
  </si>
  <si>
    <t>70100 - Events and Recycling</t>
  </si>
  <si>
    <t>71063 - Facilities I POLY</t>
  </si>
  <si>
    <t>71100 - HVAC</t>
  </si>
  <si>
    <t>71201 - Electrical Shop</t>
  </si>
  <si>
    <t>71202 - Plumbing Shop</t>
  </si>
  <si>
    <t>71204 - Paint Shop</t>
  </si>
  <si>
    <t>71205 - Lock Shop</t>
  </si>
  <si>
    <t>71300 - Landscape Services</t>
  </si>
  <si>
    <t>71400 - Custodial Services</t>
  </si>
  <si>
    <t>71501 - Carpenter Shop</t>
  </si>
  <si>
    <t>71504 - Project Coordination</t>
  </si>
  <si>
    <t>72100 - Procurement Office</t>
  </si>
  <si>
    <t>72300 - Facilities Management</t>
  </si>
  <si>
    <t>72600 - Public Safety</t>
  </si>
  <si>
    <t>72664 - PublicSafety-CSU</t>
  </si>
  <si>
    <t>72675 - Police Officers RE MOU</t>
  </si>
  <si>
    <t>72678 - Dispatcher  RE MOU</t>
  </si>
  <si>
    <t>72679 - CSO RE MOU</t>
  </si>
  <si>
    <t>72681 - Public Safety - Misc Reimb</t>
  </si>
  <si>
    <t>73711 - Internal Audit</t>
  </si>
  <si>
    <t>96000 - Energy Services</t>
  </si>
  <si>
    <t>34063 - Institutional Technology</t>
  </si>
  <si>
    <t>C5100 - STUDENT COMPUTER LABS</t>
  </si>
  <si>
    <t>PPL CLTR &amp; INST AFFR</t>
  </si>
  <si>
    <t>74200 - Strategic Communications</t>
  </si>
  <si>
    <t>62600 - Disability Resource Center</t>
  </si>
  <si>
    <t>C3371 - DISABILITY ACCOMMODATIONS</t>
  </si>
  <si>
    <t>63000 - VP Student Affairs Office</t>
  </si>
  <si>
    <t>74211 - Commencement</t>
  </si>
  <si>
    <t>C4402 - COMMENCEMENT</t>
  </si>
  <si>
    <t>68900 - Risk Management</t>
  </si>
  <si>
    <t>99910 - University Level Tracking</t>
  </si>
  <si>
    <t>TX008 - UNIV ACCTG</t>
  </si>
  <si>
    <t>16900 - Academic Programs</t>
  </si>
  <si>
    <t>20001 - VP Academic Affs Instructional</t>
  </si>
  <si>
    <t>20400 - Academic Senate</t>
  </si>
  <si>
    <t>21000 - International Programs</t>
  </si>
  <si>
    <t>C3251 - STUDY ABROAD-ITALY LNDSCP ARCH</t>
  </si>
  <si>
    <t>31600 - Philosophy</t>
  </si>
  <si>
    <t>36200 - CCHM Dean's Office Support</t>
  </si>
  <si>
    <t>41200 - Dean College of Business</t>
  </si>
  <si>
    <t>44500 - Dean College of Engineering</t>
  </si>
  <si>
    <t>48300 - ENV Dean's Office Support</t>
  </si>
  <si>
    <t>48301 - ENV Dean's Instructional Supp</t>
  </si>
  <si>
    <t>48700 - Art Gallery</t>
  </si>
  <si>
    <t>49900 - Biological Sciences</t>
  </si>
  <si>
    <t>50300 - Physics and Astronomy</t>
  </si>
  <si>
    <t>63700 - AVP Enrollment Mgmt &amp; Services</t>
  </si>
  <si>
    <t>C3080 - EHS-HAZ WASTE</t>
  </si>
  <si>
    <t>34200 - IT Project &amp; Process Mgmt</t>
  </si>
  <si>
    <t>34510 - Compliance</t>
  </si>
  <si>
    <t>19500 - Housing-Maintenance Operations</t>
  </si>
  <si>
    <t>19600 - Housing - Custodial</t>
  </si>
  <si>
    <t>61810 - Veterans Resource Center</t>
  </si>
  <si>
    <t>74300 - VP Univ Advancement Office</t>
  </si>
  <si>
    <t>74310 - Govt &amp; Community Relations</t>
  </si>
  <si>
    <t>74400 - Advancement Ops &amp; Finance</t>
  </si>
  <si>
    <t>74610 - Donor Relations &amp; Stewardship</t>
  </si>
  <si>
    <t>74800 - Advancement Services</t>
  </si>
  <si>
    <t>82400 - FND Office</t>
  </si>
  <si>
    <t>99101 - UNIV-INSTRUCTION</t>
  </si>
  <si>
    <t>72010 - UA License of Facilities</t>
  </si>
  <si>
    <t>96264 - Project Management</t>
  </si>
  <si>
    <t>C3485 - NON-CAPITALIZABLE PROJECT</t>
  </si>
  <si>
    <t>C6611 - HVAC SYSTEM COVID UPGRADES</t>
  </si>
  <si>
    <t>C6627 - FY 22/23 ROOF REPAIR PROJECTS</t>
  </si>
  <si>
    <t>(1) Financial Aid $53,000 IFT23-0086 Scholarship Post-Bac; $450,766 IFT2685 Summer Enrollment Grant</t>
  </si>
  <si>
    <t>IFT 002685 Summer Enrollment Grant</t>
  </si>
  <si>
    <t>609015-TY033-99910-00000</t>
  </si>
  <si>
    <t>609002-POM01-99910-00000</t>
  </si>
  <si>
    <t>609001-POM01-99910-00000</t>
  </si>
  <si>
    <t>609004-POM01-99910-00000</t>
  </si>
  <si>
    <t>609008-POM01-99910-00000</t>
  </si>
  <si>
    <t>609815-POM01-99910-00000</t>
  </si>
  <si>
    <t>609008-POM01-99910-C3336</t>
  </si>
  <si>
    <t>609008-PFA01-99910-00000*</t>
  </si>
  <si>
    <t>609008-POM01-99910-TK274</t>
  </si>
  <si>
    <t>*In 609008-POM01-99910-C3292 before transferring to PFA.</t>
  </si>
  <si>
    <t>(2) Financial aid adjustment: SUG $793,000 due to 10% of the pool reallocated to universities with the greatest financial need measured by the Student Aid Index (SAI).</t>
  </si>
  <si>
    <t>(3) Carryforward financial aid balances as of 6/30/26.  Negative balance will reduce base budget funding (if available) on a one-time basis.</t>
  </si>
  <si>
    <t>609008-TY033-99910-00000</t>
  </si>
  <si>
    <t>(2) IT Ty033</t>
  </si>
  <si>
    <t>Enrollment Management</t>
  </si>
  <si>
    <t>People and Culture</t>
  </si>
  <si>
    <t xml:space="preserve">   Student Affairs: JLD - Move $13 deficit in 61600-C3043 Designated to 61600-00000 Undesignated. Move $2,100 IT Fee deficit to Undesignated</t>
  </si>
  <si>
    <t>Position Funding Transfer #10062649</t>
  </si>
  <si>
    <t>StratComm Transfer</t>
  </si>
  <si>
    <t xml:space="preserve">26-27
Base
Undesignated
Transfers
</t>
  </si>
  <si>
    <t xml:space="preserve">26-27
Base
Designated
Transfers
</t>
  </si>
  <si>
    <t>Outreach Recruitment &amp; Educational Partnership (OREP)</t>
  </si>
  <si>
    <t>People &amp; Cuture Transfer</t>
  </si>
  <si>
    <t>Enrollment Management Transfer</t>
  </si>
  <si>
    <t>ENROLLMENT</t>
  </si>
  <si>
    <t>MANAGEMENT</t>
  </si>
  <si>
    <t>PEOPLE</t>
  </si>
  <si>
    <t>AND CULTURE</t>
  </si>
  <si>
    <t>(1) FY25-26 year-end Undesignated carryforward according to Tableau. New Divisions separated.</t>
  </si>
  <si>
    <t>26-27
One-Time Transfer Between Divisions</t>
  </si>
  <si>
    <t>Total Enrollment Management</t>
  </si>
  <si>
    <t xml:space="preserve">   Enrollment Management: JLD - Move $4 deficit in 61800-C3043 Designated to 61800-00000 Undesignated.  </t>
  </si>
  <si>
    <t>(2) IT: Move $2,100 deficit in 34742-C3018 Fees to 34742-00000 Undesignated (accrual coded to wrong class code)</t>
  </si>
  <si>
    <t>ENROLLMENT MANAGEMENT</t>
  </si>
  <si>
    <t>PEOPLE AND CULTURE</t>
  </si>
  <si>
    <t xml:space="preserve">      inflationary adjustment, Student Affairs $300,000 for Poly Pantry and $1 million for Athletics, and University Advancement $200,000 to support commencement.</t>
  </si>
  <si>
    <t>Attachment G: FY26-27 Base Budget Transfers Between Divisions</t>
  </si>
  <si>
    <t>(6) See Attachment G for details.</t>
  </si>
  <si>
    <t>Attachment G</t>
  </si>
  <si>
    <t>Base Transfers between divisions includes base commitment adjustments (e.g., unfunded compensation, Step increases)</t>
  </si>
  <si>
    <t xml:space="preserve">      OoP: $130,000 for payroll manager.</t>
  </si>
  <si>
    <t xml:space="preserve">      Academic Affairs: $1,468,500 salary for 15 net new T/TT faculty hire; $466,072 for faculty promotion (Fall 2024 $201,024, Fall 2025 $265,048),  costs) </t>
  </si>
  <si>
    <t xml:space="preserve">      Admin Affairs: $285,995 SUPA equity adjustment for UPD.</t>
  </si>
  <si>
    <t xml:space="preserve">      IT: $33,000 for software inflationary adjustment ($660,000 in FY24-25; $693k in FY25-26)</t>
  </si>
  <si>
    <t xml:space="preserve">      Recurring allocation using one-time funds for CSUEU steps implementation; amount is for a whole year.</t>
  </si>
  <si>
    <r>
      <t xml:space="preserve">(4) Base adjustments for: OoP $115,000 Presidential Associate, </t>
    </r>
    <r>
      <rPr>
        <sz val="11"/>
        <color theme="1"/>
        <rFont val="Calibri"/>
        <family val="2"/>
        <scheme val="minor"/>
      </rPr>
      <t>$6,485 for salary differential, and $154,992 for 10067888;  Admin Affairs $75,000 SUPA adjustment, IT $35,000 software license</t>
    </r>
  </si>
  <si>
    <t>Base Undesignated Transfers</t>
  </si>
  <si>
    <t>26-27
Base
Designated Transfers</t>
  </si>
  <si>
    <t>(1) FY25-26 financial aid budget according to allocation memo #25-01.</t>
  </si>
  <si>
    <t xml:space="preserve">      Doctoral Fee and Graduate Business Professional Fee adjusted according to the fee revenue projection (see Attachment C - Fees).</t>
  </si>
  <si>
    <t>(1) FY25-26 Lottery (TY033) base budget according to allocation memo #25-01.</t>
  </si>
  <si>
    <t>(3) One-time transfer of Strategic Communications Carryforward - Reorg from Office of the President to University Advancement; amount reduced by the deficit in PCR.</t>
  </si>
  <si>
    <t>26-27
One-Time
Allocation</t>
  </si>
  <si>
    <t>(5) FY25-26 year-end Designated carryforward balances according to Tableau.  See Attachment E for more details.</t>
  </si>
  <si>
    <t>(6) Student Affairs: JLD - Move $13 deficit in 61600-C3043 Designated to 61600-00000 Undesignated. Move $2,100 IT Fee deficit to Undesignated</t>
  </si>
  <si>
    <t>(7) FY25-26 year-end Fee carryforward balances according to Tableau.  See attachment F for more details.</t>
  </si>
  <si>
    <t>(8) IT: Move $2,100 deficit in 34742-C3018 Fees to 34742-00000 Undesignated (accrual coded to wrong class code)</t>
  </si>
  <si>
    <t>(4) Academic Affairs: $1,289,447 for Summer 2026  instructional costs (faculty salary and operation related to enrollment conversion from self-support to state support implemented in Summer 2024)</t>
  </si>
  <si>
    <t>Institutional Expense Transfer*</t>
  </si>
  <si>
    <t>*Stewardship of  institutional expenses, including utilities, risk management, and institutional leases, will transition to Admin Affairs.</t>
  </si>
  <si>
    <t>Centralized Expenses</t>
  </si>
  <si>
    <t>2026-27
Base
Allocation</t>
  </si>
  <si>
    <t>Base Undesignated
Allocation</t>
  </si>
  <si>
    <t>University Initiatives</t>
  </si>
  <si>
    <t xml:space="preserve">26-27
Base
Fee
Allocation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</si>
</sst>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$&quot;#,##0_);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  <numFmt numFmtId="166" formatCode="0.0000%"/>
    <numFmt numFmtId="167" formatCode="0.0%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DEDED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4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70">
    <xf numFmtId="0" fontId="0" fillId="0" borderId="0" xfId="0"/>
    <xf numFmtId="37" fontId="0" fillId="0" borderId="0" xfId="0" applyNumberFormat="1" applyAlignment="1">
      <alignment horizontal="center"/>
    </xf>
    <xf numFmtId="37" fontId="0" fillId="0" borderId="0" xfId="0" applyNumberFormat="1"/>
    <xf numFmtId="37" fontId="2" fillId="0" borderId="0" xfId="0" applyNumberFormat="1" applyFont="1"/>
    <xf numFmtId="37" fontId="0" fillId="0" borderId="0" xfId="0" applyNumberFormat="1" applyAlignment="1">
      <alignment horizontal="center" wrapText="1"/>
    </xf>
    <xf numFmtId="37" fontId="1" fillId="0" borderId="0" xfId="0" applyNumberFormat="1" applyFont="1" applyAlignment="1">
      <alignment horizontal="center" wrapText="1"/>
    </xf>
    <xf numFmtId="37" fontId="1" fillId="0" borderId="0" xfId="0" applyNumberFormat="1" applyFont="1" applyAlignment="1">
      <alignment horizontal="center"/>
    </xf>
    <xf numFmtId="164" fontId="0" fillId="0" borderId="0" xfId="1" applyNumberFormat="1" applyFont="1" applyFill="1" applyAlignment="1">
      <alignment horizontal="right" indent="1"/>
    </xf>
    <xf numFmtId="164" fontId="1" fillId="0" borderId="2" xfId="1" applyNumberFormat="1" applyFont="1" applyFill="1" applyBorder="1" applyAlignment="1">
      <alignment horizontal="right" indent="1"/>
    </xf>
    <xf numFmtId="37" fontId="1" fillId="0" borderId="2" xfId="0" applyNumberFormat="1" applyFont="1" applyBorder="1"/>
    <xf numFmtId="5" fontId="1" fillId="0" borderId="4" xfId="0" applyNumberFormat="1" applyFont="1" applyBorder="1"/>
    <xf numFmtId="164" fontId="1" fillId="0" borderId="4" xfId="1" applyNumberFormat="1" applyFont="1" applyFill="1" applyBorder="1" applyAlignment="1">
      <alignment horizontal="right" indent="1"/>
    </xf>
    <xf numFmtId="5" fontId="1" fillId="0" borderId="0" xfId="0" applyNumberFormat="1" applyFont="1"/>
    <xf numFmtId="5" fontId="1" fillId="0" borderId="0" xfId="0" applyNumberFormat="1" applyFont="1" applyAlignment="1">
      <alignment horizontal="right" indent="1"/>
    </xf>
    <xf numFmtId="37" fontId="0" fillId="0" borderId="6" xfId="0" applyNumberFormat="1" applyBorder="1" applyAlignment="1">
      <alignment horizontal="center" wrapText="1"/>
    </xf>
    <xf numFmtId="37" fontId="3" fillId="0" borderId="6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wrapText="1"/>
    </xf>
    <xf numFmtId="14" fontId="5" fillId="0" borderId="0" xfId="0" applyNumberFormat="1" applyFont="1" applyAlignment="1">
      <alignment horizontal="left"/>
    </xf>
    <xf numFmtId="37" fontId="0" fillId="0" borderId="0" xfId="0" applyNumberFormat="1" applyAlignment="1">
      <alignment horizontal="right"/>
    </xf>
    <xf numFmtId="37" fontId="0" fillId="2" borderId="1" xfId="0" applyNumberFormat="1" applyFill="1" applyBorder="1" applyAlignment="1">
      <alignment horizontal="center"/>
    </xf>
    <xf numFmtId="37" fontId="1" fillId="2" borderId="1" xfId="0" applyNumberFormat="1" applyFont="1" applyFill="1" applyBorder="1" applyAlignment="1">
      <alignment horizontal="center" wrapText="1"/>
    </xf>
    <xf numFmtId="37" fontId="3" fillId="2" borderId="7" xfId="0" applyNumberFormat="1" applyFont="1" applyFill="1" applyBorder="1" applyAlignment="1">
      <alignment horizontal="center" vertical="center"/>
    </xf>
    <xf numFmtId="164" fontId="0" fillId="2" borderId="1" xfId="1" applyNumberFormat="1" applyFont="1" applyFill="1" applyBorder="1" applyAlignment="1">
      <alignment horizontal="right" indent="1"/>
    </xf>
    <xf numFmtId="164" fontId="1" fillId="2" borderId="3" xfId="1" applyNumberFormat="1" applyFont="1" applyFill="1" applyBorder="1" applyAlignment="1">
      <alignment horizontal="right" indent="1"/>
    </xf>
    <xf numFmtId="164" fontId="1" fillId="2" borderId="5" xfId="1" applyNumberFormat="1" applyFont="1" applyFill="1" applyBorder="1" applyAlignment="1">
      <alignment horizontal="right" indent="1"/>
    </xf>
    <xf numFmtId="164" fontId="0" fillId="0" borderId="0" xfId="1" applyNumberFormat="1" applyFont="1"/>
    <xf numFmtId="37" fontId="6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right"/>
    </xf>
    <xf numFmtId="165" fontId="2" fillId="0" borderId="0" xfId="0" quotePrefix="1" applyNumberFormat="1" applyFont="1" applyAlignment="1">
      <alignment wrapText="1"/>
    </xf>
    <xf numFmtId="165" fontId="2" fillId="0" borderId="0" xfId="0" quotePrefix="1" applyNumberFormat="1" applyFont="1" applyAlignment="1">
      <alignment horizontal="right" wrapText="1"/>
    </xf>
    <xf numFmtId="37" fontId="0" fillId="3" borderId="0" xfId="0" applyNumberFormat="1" applyFill="1" applyAlignment="1">
      <alignment horizontal="center"/>
    </xf>
    <xf numFmtId="37" fontId="1" fillId="3" borderId="0" xfId="0" applyNumberFormat="1" applyFont="1" applyFill="1" applyAlignment="1">
      <alignment horizontal="center" wrapText="1"/>
    </xf>
    <xf numFmtId="14" fontId="0" fillId="0" borderId="6" xfId="0" applyNumberFormat="1" applyBorder="1" applyAlignment="1">
      <alignment horizontal="center" wrapText="1"/>
    </xf>
    <xf numFmtId="164" fontId="0" fillId="0" borderId="0" xfId="0" applyNumberFormat="1"/>
    <xf numFmtId="37" fontId="7" fillId="0" borderId="0" xfId="0" applyNumberFormat="1" applyFont="1"/>
    <xf numFmtId="37" fontId="8" fillId="0" borderId="0" xfId="0" quotePrefix="1" applyNumberFormat="1" applyFont="1"/>
    <xf numFmtId="37" fontId="0" fillId="0" borderId="0" xfId="0" quotePrefix="1" applyNumberFormat="1" applyAlignment="1">
      <alignment horizontal="center"/>
    </xf>
    <xf numFmtId="0" fontId="10" fillId="5" borderId="11" xfId="0" applyFont="1" applyFill="1" applyBorder="1" applyAlignment="1">
      <alignment horizontal="center" wrapText="1"/>
    </xf>
    <xf numFmtId="0" fontId="9" fillId="4" borderId="11" xfId="0" applyFont="1" applyFill="1" applyBorder="1" applyAlignment="1">
      <alignment horizontal="right" indent="1"/>
    </xf>
    <xf numFmtId="164" fontId="1" fillId="2" borderId="13" xfId="1" applyNumberFormat="1" applyFont="1" applyFill="1" applyBorder="1" applyAlignment="1">
      <alignment horizontal="right" indent="1"/>
    </xf>
    <xf numFmtId="164" fontId="1" fillId="2" borderId="14" xfId="1" applyNumberFormat="1" applyFont="1" applyFill="1" applyBorder="1" applyAlignment="1">
      <alignment horizontal="right" indent="1"/>
    </xf>
    <xf numFmtId="0" fontId="10" fillId="5" borderId="16" xfId="0" applyFont="1" applyFill="1" applyBorder="1" applyAlignment="1">
      <alignment horizontal="center" wrapText="1"/>
    </xf>
    <xf numFmtId="14" fontId="1" fillId="2" borderId="12" xfId="0" applyNumberFormat="1" applyFont="1" applyFill="1" applyBorder="1" applyAlignment="1">
      <alignment horizontal="center" wrapText="1"/>
    </xf>
    <xf numFmtId="164" fontId="0" fillId="2" borderId="11" xfId="1" applyNumberFormat="1" applyFont="1" applyFill="1" applyBorder="1" applyAlignment="1">
      <alignment horizontal="right" indent="1"/>
    </xf>
    <xf numFmtId="37" fontId="1" fillId="0" borderId="15" xfId="0" applyNumberFormat="1" applyFont="1" applyBorder="1" applyAlignment="1">
      <alignment horizontal="center" wrapText="1"/>
    </xf>
    <xf numFmtId="0" fontId="10" fillId="0" borderId="1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9" fillId="5" borderId="11" xfId="0" applyFont="1" applyFill="1" applyBorder="1" applyAlignment="1">
      <alignment horizontal="center"/>
    </xf>
    <xf numFmtId="37" fontId="1" fillId="0" borderId="22" xfId="0" applyNumberFormat="1" applyFont="1" applyBorder="1" applyAlignment="1">
      <alignment horizontal="center" wrapText="1"/>
    </xf>
    <xf numFmtId="37" fontId="1" fillId="3" borderId="16" xfId="0" applyNumberFormat="1" applyFont="1" applyFill="1" applyBorder="1" applyAlignment="1">
      <alignment horizontal="center" wrapText="1"/>
    </xf>
    <xf numFmtId="164" fontId="9" fillId="4" borderId="11" xfId="1" applyNumberFormat="1" applyFont="1" applyFill="1" applyBorder="1" applyAlignment="1">
      <alignment horizontal="right" indent="1"/>
    </xf>
    <xf numFmtId="164" fontId="1" fillId="0" borderId="2" xfId="1" applyNumberFormat="1" applyFont="1" applyBorder="1"/>
    <xf numFmtId="164" fontId="1" fillId="0" borderId="4" xfId="1" applyNumberFormat="1" applyFont="1" applyBorder="1"/>
    <xf numFmtId="37" fontId="0" fillId="0" borderId="9" xfId="0" applyNumberFormat="1" applyBorder="1" applyAlignment="1">
      <alignment horizontal="center"/>
    </xf>
    <xf numFmtId="0" fontId="9" fillId="5" borderId="11" xfId="0" quotePrefix="1" applyFont="1" applyFill="1" applyBorder="1" applyAlignment="1">
      <alignment horizontal="center" wrapText="1"/>
    </xf>
    <xf numFmtId="164" fontId="9" fillId="0" borderId="0" xfId="1" applyNumberFormat="1" applyFont="1" applyAlignment="1">
      <alignment horizontal="center"/>
    </xf>
    <xf numFmtId="164" fontId="9" fillId="0" borderId="0" xfId="1" applyNumberFormat="1" applyFont="1" applyAlignment="1">
      <alignment horizontal="right" indent="1"/>
    </xf>
    <xf numFmtId="37" fontId="0" fillId="0" borderId="23" xfId="0" applyNumberFormat="1" applyBorder="1"/>
    <xf numFmtId="37" fontId="0" fillId="0" borderId="23" xfId="0" applyNumberFormat="1" applyBorder="1" applyAlignment="1">
      <alignment horizontal="center"/>
    </xf>
    <xf numFmtId="37" fontId="0" fillId="0" borderId="24" xfId="0" applyNumberFormat="1" applyBorder="1"/>
    <xf numFmtId="37" fontId="0" fillId="0" borderId="24" xfId="0" applyNumberFormat="1" applyBorder="1" applyAlignment="1">
      <alignment horizontal="center"/>
    </xf>
    <xf numFmtId="37" fontId="0" fillId="0" borderId="8" xfId="0" applyNumberFormat="1" applyBorder="1" applyAlignment="1">
      <alignment horizontal="right"/>
    </xf>
    <xf numFmtId="37" fontId="11" fillId="0" borderId="0" xfId="0" applyNumberFormat="1" applyFont="1"/>
    <xf numFmtId="37" fontId="0" fillId="0" borderId="0" xfId="0" applyNumberFormat="1" applyAlignment="1">
      <alignment horizontal="left"/>
    </xf>
    <xf numFmtId="37" fontId="0" fillId="0" borderId="8" xfId="0" applyNumberFormat="1" applyBorder="1"/>
    <xf numFmtId="5" fontId="0" fillId="0" borderId="0" xfId="0" applyNumberFormat="1"/>
    <xf numFmtId="0" fontId="12" fillId="0" borderId="0" xfId="0" applyFont="1" applyAlignment="1">
      <alignment horizontal="right"/>
    </xf>
    <xf numFmtId="164" fontId="0" fillId="0" borderId="0" xfId="1" applyNumberFormat="1" applyFont="1" applyAlignment="1">
      <alignment horizontal="center"/>
    </xf>
    <xf numFmtId="164" fontId="0" fillId="0" borderId="8" xfId="1" applyNumberFormat="1" applyFont="1" applyBorder="1" applyAlignment="1">
      <alignment horizontal="center"/>
    </xf>
    <xf numFmtId="164" fontId="4" fillId="0" borderId="0" xfId="1" applyNumberFormat="1" applyFont="1"/>
    <xf numFmtId="0" fontId="13" fillId="0" borderId="0" xfId="0" applyFont="1" applyAlignment="1">
      <alignment horizontal="left" indent="1"/>
    </xf>
    <xf numFmtId="37" fontId="1" fillId="0" borderId="0" xfId="0" applyNumberFormat="1" applyFont="1"/>
    <xf numFmtId="0" fontId="14" fillId="0" borderId="0" xfId="3"/>
    <xf numFmtId="164" fontId="9" fillId="0" borderId="0" xfId="1" applyNumberFormat="1" applyFont="1" applyFill="1" applyAlignment="1">
      <alignment horizontal="right" indent="1"/>
    </xf>
    <xf numFmtId="164" fontId="0" fillId="0" borderId="0" xfId="1" applyNumberFormat="1" applyFont="1" applyFill="1"/>
    <xf numFmtId="0" fontId="0" fillId="0" borderId="0" xfId="0" applyAlignment="1">
      <alignment horizontal="left"/>
    </xf>
    <xf numFmtId="164" fontId="0" fillId="0" borderId="0" xfId="1" applyNumberFormat="1" applyFont="1" applyBorder="1" applyAlignment="1">
      <alignment horizontal="center"/>
    </xf>
    <xf numFmtId="37" fontId="0" fillId="0" borderId="8" xfId="0" applyNumberFormat="1" applyBorder="1" applyAlignment="1">
      <alignment horizontal="center"/>
    </xf>
    <xf numFmtId="164" fontId="1" fillId="3" borderId="2" xfId="1" applyNumberFormat="1" applyFont="1" applyFill="1" applyBorder="1" applyAlignment="1">
      <alignment horizontal="right" indent="1"/>
    </xf>
    <xf numFmtId="164" fontId="1" fillId="3" borderId="4" xfId="1" applyNumberFormat="1" applyFont="1" applyFill="1" applyBorder="1" applyAlignment="1">
      <alignment horizontal="right" indent="1"/>
    </xf>
    <xf numFmtId="164" fontId="9" fillId="3" borderId="0" xfId="1" applyNumberFormat="1" applyFont="1" applyFill="1" applyAlignment="1">
      <alignment horizontal="right" indent="1"/>
    </xf>
    <xf numFmtId="164" fontId="1" fillId="0" borderId="0" xfId="0" applyNumberFormat="1" applyFont="1" applyAlignment="1">
      <alignment horizontal="right" indent="1"/>
    </xf>
    <xf numFmtId="14" fontId="1" fillId="0" borderId="0" xfId="0" applyNumberFormat="1" applyFont="1" applyAlignment="1">
      <alignment horizontal="center" wrapText="1"/>
    </xf>
    <xf numFmtId="37" fontId="3" fillId="2" borderId="1" xfId="0" applyNumberFormat="1" applyFont="1" applyFill="1" applyBorder="1" applyAlignment="1">
      <alignment horizontal="center" vertical="center"/>
    </xf>
    <xf numFmtId="37" fontId="11" fillId="0" borderId="0" xfId="0" applyNumberFormat="1" applyFont="1" applyAlignment="1">
      <alignment horizontal="left" wrapText="1"/>
    </xf>
    <xf numFmtId="14" fontId="1" fillId="3" borderId="6" xfId="0" applyNumberFormat="1" applyFont="1" applyFill="1" applyBorder="1" applyAlignment="1">
      <alignment horizontal="center" wrapText="1"/>
    </xf>
    <xf numFmtId="14" fontId="1" fillId="3" borderId="0" xfId="0" applyNumberFormat="1" applyFont="1" applyFill="1" applyAlignment="1">
      <alignment horizontal="center" wrapText="1"/>
    </xf>
    <xf numFmtId="164" fontId="9" fillId="3" borderId="0" xfId="1" applyNumberFormat="1" applyFont="1" applyFill="1" applyAlignment="1">
      <alignment horizontal="center"/>
    </xf>
    <xf numFmtId="37" fontId="0" fillId="0" borderId="0" xfId="0" quotePrefix="1" applyNumberFormat="1"/>
    <xf numFmtId="5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5" fontId="0" fillId="0" borderId="25" xfId="0" applyNumberFormat="1" applyBorder="1" applyAlignment="1">
      <alignment horizontal="center"/>
    </xf>
    <xf numFmtId="37" fontId="0" fillId="0" borderId="25" xfId="0" applyNumberFormat="1" applyBorder="1" applyAlignment="1">
      <alignment horizontal="center"/>
    </xf>
    <xf numFmtId="164" fontId="4" fillId="0" borderId="0" xfId="1" applyNumberFormat="1" applyFont="1" applyAlignment="1">
      <alignment horizontal="right" indent="1"/>
    </xf>
    <xf numFmtId="0" fontId="0" fillId="0" borderId="0" xfId="0" pivotButton="1"/>
    <xf numFmtId="164" fontId="1" fillId="0" borderId="0" xfId="1" applyNumberFormat="1" applyFont="1" applyFill="1" applyBorder="1" applyAlignment="1">
      <alignment horizontal="right" indent="1"/>
    </xf>
    <xf numFmtId="164" fontId="9" fillId="0" borderId="0" xfId="1" applyNumberFormat="1" applyFont="1" applyFill="1" applyAlignment="1">
      <alignment horizontal="center"/>
    </xf>
    <xf numFmtId="166" fontId="0" fillId="0" borderId="0" xfId="2" applyNumberFormat="1" applyFont="1"/>
    <xf numFmtId="164" fontId="1" fillId="0" borderId="2" xfId="1" applyNumberFormat="1" applyFont="1" applyBorder="1" applyAlignment="1">
      <alignment horizontal="right" indent="1"/>
    </xf>
    <xf numFmtId="0" fontId="3" fillId="0" borderId="0" xfId="0" applyFont="1" applyAlignment="1">
      <alignment horizontal="left"/>
    </xf>
    <xf numFmtId="164" fontId="0" fillId="0" borderId="0" xfId="1" applyNumberFormat="1" applyFont="1" applyFill="1" applyAlignment="1"/>
    <xf numFmtId="37" fontId="1" fillId="0" borderId="2" xfId="1" applyNumberFormat="1" applyFont="1" applyFill="1" applyBorder="1" applyAlignment="1"/>
    <xf numFmtId="164" fontId="1" fillId="0" borderId="2" xfId="1" applyNumberFormat="1" applyFont="1" applyFill="1" applyBorder="1" applyAlignment="1"/>
    <xf numFmtId="37" fontId="1" fillId="0" borderId="4" xfId="1" applyNumberFormat="1" applyFont="1" applyFill="1" applyBorder="1" applyAlignment="1"/>
    <xf numFmtId="37" fontId="1" fillId="0" borderId="0" xfId="0" applyNumberFormat="1" applyFont="1" applyAlignment="1">
      <alignment horizontal="left" wrapText="1"/>
    </xf>
    <xf numFmtId="10" fontId="0" fillId="0" borderId="0" xfId="2" applyNumberFormat="1" applyFont="1"/>
    <xf numFmtId="164" fontId="0" fillId="0" borderId="0" xfId="1" applyNumberFormat="1" applyFont="1" applyFill="1" applyAlignment="1">
      <alignment horizontal="center"/>
    </xf>
    <xf numFmtId="164" fontId="0" fillId="0" borderId="8" xfId="1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9" fontId="0" fillId="0" borderId="0" xfId="2" applyFont="1" applyFill="1" applyAlignment="1">
      <alignment horizontal="center"/>
    </xf>
    <xf numFmtId="5" fontId="15" fillId="0" borderId="0" xfId="0" applyNumberFormat="1" applyFont="1" applyAlignment="1">
      <alignment horizontal="left" indent="1"/>
    </xf>
    <xf numFmtId="164" fontId="0" fillId="0" borderId="0" xfId="1" applyNumberFormat="1" applyFont="1" applyAlignment="1">
      <alignment horizontal="left"/>
    </xf>
    <xf numFmtId="10" fontId="1" fillId="0" borderId="0" xfId="2" applyNumberFormat="1" applyFont="1"/>
    <xf numFmtId="164" fontId="9" fillId="0" borderId="0" xfId="1" applyNumberFormat="1" applyFont="1" applyFill="1" applyAlignment="1">
      <alignment horizontal="right"/>
    </xf>
    <xf numFmtId="37" fontId="1" fillId="0" borderId="2" xfId="0" applyNumberFormat="1" applyFont="1" applyBorder="1" applyAlignment="1">
      <alignment horizontal="center"/>
    </xf>
    <xf numFmtId="164" fontId="0" fillId="0" borderId="0" xfId="1" applyNumberFormat="1" applyFont="1" applyFill="1" applyAlignment="1">
      <alignment horizontal="right"/>
    </xf>
    <xf numFmtId="14" fontId="0" fillId="0" borderId="0" xfId="0" applyNumberFormat="1" applyAlignment="1">
      <alignment horizontal="center" wrapText="1"/>
    </xf>
    <xf numFmtId="164" fontId="0" fillId="0" borderId="0" xfId="1" applyNumberFormat="1" applyFont="1" applyBorder="1" applyAlignment="1">
      <alignment horizontal="right"/>
    </xf>
    <xf numFmtId="0" fontId="9" fillId="5" borderId="28" xfId="0" applyFont="1" applyFill="1" applyBorder="1" applyAlignment="1">
      <alignment horizontal="center"/>
    </xf>
    <xf numFmtId="44" fontId="1" fillId="0" borderId="0" xfId="4" applyFont="1" applyAlignment="1">
      <alignment horizontal="right" indent="1"/>
    </xf>
    <xf numFmtId="44" fontId="1" fillId="0" borderId="0" xfId="0" applyNumberFormat="1" applyFont="1" applyAlignment="1">
      <alignment horizontal="right" indent="1"/>
    </xf>
    <xf numFmtId="10" fontId="0" fillId="0" borderId="0" xfId="2" applyNumberFormat="1" applyFont="1" applyAlignment="1">
      <alignment horizontal="center"/>
    </xf>
    <xf numFmtId="10" fontId="0" fillId="0" borderId="8" xfId="2" applyNumberFormat="1" applyFont="1" applyBorder="1" applyAlignment="1">
      <alignment horizontal="right"/>
    </xf>
    <xf numFmtId="10" fontId="0" fillId="0" borderId="0" xfId="2" applyNumberFormat="1" applyFont="1" applyBorder="1" applyAlignment="1">
      <alignment horizontal="right"/>
    </xf>
    <xf numFmtId="10" fontId="0" fillId="0" borderId="8" xfId="2" applyNumberFormat="1" applyFont="1" applyBorder="1"/>
    <xf numFmtId="164" fontId="0" fillId="0" borderId="8" xfId="1" applyNumberFormat="1" applyFont="1" applyBorder="1" applyAlignment="1">
      <alignment horizontal="right"/>
    </xf>
    <xf numFmtId="37" fontId="16" fillId="0" borderId="0" xfId="0" applyNumberFormat="1" applyFont="1"/>
    <xf numFmtId="164" fontId="0" fillId="3" borderId="0" xfId="1" applyNumberFormat="1" applyFont="1" applyFill="1"/>
    <xf numFmtId="37" fontId="0" fillId="3" borderId="8" xfId="0" applyNumberFormat="1" applyFill="1" applyBorder="1"/>
    <xf numFmtId="164" fontId="0" fillId="3" borderId="8" xfId="1" applyNumberFormat="1" applyFont="1" applyFill="1" applyBorder="1" applyAlignment="1">
      <alignment horizontal="center"/>
    </xf>
    <xf numFmtId="164" fontId="0" fillId="3" borderId="0" xfId="1" applyNumberFormat="1" applyFont="1" applyFill="1" applyAlignment="1">
      <alignment horizontal="center"/>
    </xf>
    <xf numFmtId="164" fontId="0" fillId="3" borderId="8" xfId="1" applyNumberFormat="1" applyFont="1" applyFill="1" applyBorder="1" applyAlignment="1">
      <alignment horizontal="right"/>
    </xf>
    <xf numFmtId="164" fontId="0" fillId="3" borderId="0" xfId="1" applyNumberFormat="1" applyFont="1" applyFill="1" applyBorder="1" applyAlignment="1">
      <alignment horizontal="right"/>
    </xf>
    <xf numFmtId="0" fontId="16" fillId="3" borderId="0" xfId="0" applyFont="1" applyFill="1"/>
    <xf numFmtId="37" fontId="11" fillId="0" borderId="0" xfId="0" applyNumberFormat="1" applyFont="1" applyAlignment="1">
      <alignment horizontal="center"/>
    </xf>
    <xf numFmtId="37" fontId="1" fillId="3" borderId="0" xfId="0" quotePrefix="1" applyNumberFormat="1" applyFont="1" applyFill="1" applyAlignment="1">
      <alignment horizontal="center"/>
    </xf>
    <xf numFmtId="164" fontId="0" fillId="0" borderId="0" xfId="1" applyNumberFormat="1" applyFont="1" applyAlignment="1">
      <alignment horizontal="right"/>
    </xf>
    <xf numFmtId="0" fontId="0" fillId="0" borderId="0" xfId="0" applyAlignment="1">
      <alignment horizontal="center"/>
    </xf>
    <xf numFmtId="41" fontId="0" fillId="0" borderId="0" xfId="0" applyNumberFormat="1"/>
    <xf numFmtId="37" fontId="17" fillId="0" borderId="0" xfId="0" applyNumberFormat="1" applyFont="1" applyAlignment="1">
      <alignment horizontal="left"/>
    </xf>
    <xf numFmtId="164" fontId="0" fillId="6" borderId="0" xfId="1" applyNumberFormat="1" applyFont="1" applyFill="1"/>
    <xf numFmtId="164" fontId="0" fillId="6" borderId="8" xfId="1" applyNumberFormat="1" applyFont="1" applyFill="1" applyBorder="1"/>
    <xf numFmtId="164" fontId="0" fillId="0" borderId="25" xfId="1" applyNumberFormat="1" applyFont="1" applyFill="1" applyBorder="1" applyAlignment="1">
      <alignment horizontal="center"/>
    </xf>
    <xf numFmtId="0" fontId="11" fillId="0" borderId="17" xfId="0" applyFont="1" applyBorder="1"/>
    <xf numFmtId="164" fontId="0" fillId="0" borderId="8" xfId="1" applyNumberFormat="1" applyFont="1" applyFill="1" applyBorder="1"/>
    <xf numFmtId="37" fontId="1" fillId="0" borderId="0" xfId="0" applyNumberFormat="1" applyFont="1" applyAlignment="1">
      <alignment horizontal="center" vertical="top" wrapText="1"/>
    </xf>
    <xf numFmtId="37" fontId="1" fillId="3" borderId="0" xfId="0" applyNumberFormat="1" applyFont="1" applyFill="1" applyAlignment="1">
      <alignment horizontal="center" vertical="top" wrapText="1"/>
    </xf>
    <xf numFmtId="37" fontId="1" fillId="3" borderId="29" xfId="0" applyNumberFormat="1" applyFont="1" applyFill="1" applyBorder="1" applyAlignment="1">
      <alignment horizontal="center" vertical="top" wrapText="1"/>
    </xf>
    <xf numFmtId="0" fontId="10" fillId="5" borderId="16" xfId="0" applyFont="1" applyFill="1" applyBorder="1" applyAlignment="1">
      <alignment horizontal="center" vertical="top" wrapText="1"/>
    </xf>
    <xf numFmtId="0" fontId="1" fillId="7" borderId="25" xfId="0" applyFont="1" applyFill="1" applyBorder="1" applyAlignment="1">
      <alignment horizontal="center"/>
    </xf>
    <xf numFmtId="0" fontId="0" fillId="6" borderId="25" xfId="0" applyFill="1" applyBorder="1" applyAlignment="1">
      <alignment horizontal="center"/>
    </xf>
    <xf numFmtId="167" fontId="0" fillId="6" borderId="0" xfId="2" applyNumberFormat="1" applyFont="1" applyFill="1"/>
    <xf numFmtId="164" fontId="1" fillId="6" borderId="8" xfId="0" applyNumberFormat="1" applyFont="1" applyFill="1" applyBorder="1"/>
    <xf numFmtId="37" fontId="1" fillId="0" borderId="0" xfId="0" applyNumberFormat="1" applyFont="1" applyAlignment="1">
      <alignment horizontal="center" vertical="center" wrapText="1"/>
    </xf>
    <xf numFmtId="37" fontId="0" fillId="0" borderId="17" xfId="0" applyNumberFormat="1" applyBorder="1"/>
    <xf numFmtId="43" fontId="0" fillId="0" borderId="0" xfId="1" applyFont="1" applyAlignment="1">
      <alignment horizontal="right"/>
    </xf>
    <xf numFmtId="164" fontId="0" fillId="2" borderId="0" xfId="1" applyNumberFormat="1" applyFont="1" applyFill="1"/>
    <xf numFmtId="37" fontId="1" fillId="0" borderId="0" xfId="0" applyNumberFormat="1" applyFont="1" applyAlignment="1">
      <alignment horizontal="center"/>
    </xf>
    <xf numFmtId="37" fontId="1" fillId="0" borderId="20" xfId="0" applyNumberFormat="1" applyFont="1" applyBorder="1" applyAlignment="1">
      <alignment horizontal="center"/>
    </xf>
    <xf numFmtId="37" fontId="1" fillId="0" borderId="8" xfId="0" applyNumberFormat="1" applyFont="1" applyBorder="1" applyAlignment="1">
      <alignment horizontal="center"/>
    </xf>
    <xf numFmtId="37" fontId="1" fillId="0" borderId="10" xfId="0" applyNumberFormat="1" applyFont="1" applyBorder="1" applyAlignment="1">
      <alignment horizontal="center"/>
    </xf>
    <xf numFmtId="37" fontId="1" fillId="0" borderId="19" xfId="0" applyNumberFormat="1" applyFont="1" applyBorder="1" applyAlignment="1">
      <alignment horizontal="center"/>
    </xf>
    <xf numFmtId="37" fontId="1" fillId="0" borderId="17" xfId="0" applyNumberFormat="1" applyFont="1" applyBorder="1" applyAlignment="1">
      <alignment horizontal="center"/>
    </xf>
    <xf numFmtId="37" fontId="1" fillId="0" borderId="21" xfId="0" applyNumberFormat="1" applyFont="1" applyBorder="1" applyAlignment="1">
      <alignment horizontal="center"/>
    </xf>
    <xf numFmtId="164" fontId="1" fillId="0" borderId="26" xfId="1" applyNumberFormat="1" applyFont="1" applyFill="1" applyBorder="1" applyAlignment="1">
      <alignment horizontal="center"/>
    </xf>
    <xf numFmtId="164" fontId="1" fillId="0" borderId="2" xfId="1" applyNumberFormat="1" applyFont="1" applyFill="1" applyBorder="1" applyAlignment="1">
      <alignment horizontal="center"/>
    </xf>
    <xf numFmtId="164" fontId="1" fillId="0" borderId="27" xfId="1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37" fontId="1" fillId="0" borderId="26" xfId="0" applyNumberFormat="1" applyFont="1" applyBorder="1" applyAlignment="1">
      <alignment horizontal="center"/>
    </xf>
  </cellXfs>
  <cellStyles count="5">
    <cellStyle name="Comma" xfId="1" builtinId="3"/>
    <cellStyle name="Currency" xfId="4" builtinId="4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137160</xdr:colOff>
      <xdr:row>0</xdr:row>
      <xdr:rowOff>53340</xdr:rowOff>
    </xdr:from>
    <xdr:to>
      <xdr:col>1</xdr:col>
      <xdr:colOff>840191</xdr:colOff>
      <xdr:row>1</xdr:row>
      <xdr:rowOff>260350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273F566-887C-4085-9150-B378AB4AC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" y="53340"/>
          <a:ext cx="2440391" cy="5334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129540</xdr:colOff>
      <xdr:row>0</xdr:row>
      <xdr:rowOff>68580</xdr:rowOff>
    </xdr:from>
    <xdr:to>
      <xdr:col>1</xdr:col>
      <xdr:colOff>564601</xdr:colOff>
      <xdr:row>1</xdr:row>
      <xdr:rowOff>280670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0AFD728-7D70-4CBF-8A89-49D6B341F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0" y="68580"/>
          <a:ext cx="2440391" cy="5334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68580</xdr:rowOff>
    </xdr:from>
    <xdr:to>
      <xdr:col>2</xdr:col>
      <xdr:colOff>329651</xdr:colOff>
      <xdr:row>1</xdr:row>
      <xdr:rowOff>274320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96E61BC-79B7-4F6C-A07F-EC49F7FB5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" y="68580"/>
          <a:ext cx="2440391" cy="5334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45720</xdr:rowOff>
    </xdr:from>
    <xdr:to>
      <xdr:col>1</xdr:col>
      <xdr:colOff>758276</xdr:colOff>
      <xdr:row>1</xdr:row>
      <xdr:rowOff>251460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71D21B4-4E13-4613-A0EA-096B80324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45720"/>
          <a:ext cx="2440391" cy="5334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30480</xdr:rowOff>
    </xdr:from>
    <xdr:to>
      <xdr:col>1</xdr:col>
      <xdr:colOff>319718</xdr:colOff>
      <xdr:row>2</xdr:row>
      <xdr:rowOff>22860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B531D6-7B11-440A-A8EB-45CDA67E5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0480"/>
          <a:ext cx="2079938" cy="64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</xdr:colOff>
      <xdr:row>0</xdr:row>
      <xdr:rowOff>45720</xdr:rowOff>
    </xdr:from>
    <xdr:to>
      <xdr:col>1</xdr:col>
      <xdr:colOff>413471</xdr:colOff>
      <xdr:row>1</xdr:row>
      <xdr:rowOff>251460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2CF126F-F362-4405-934C-2DC7D263D8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" y="45720"/>
          <a:ext cx="2440391" cy="533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</xdr:colOff>
      <xdr:row>0</xdr:row>
      <xdr:rowOff>68580</xdr:rowOff>
    </xdr:from>
    <xdr:to>
      <xdr:col>0</xdr:col>
      <xdr:colOff>2516590</xdr:colOff>
      <xdr:row>1</xdr:row>
      <xdr:rowOff>274320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7C16491-82B9-F173-80E3-09635ECE2F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99" y="68580"/>
          <a:ext cx="2440391" cy="533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53340</xdr:rowOff>
    </xdr:from>
    <xdr:to>
      <xdr:col>1</xdr:col>
      <xdr:colOff>878291</xdr:colOff>
      <xdr:row>1</xdr:row>
      <xdr:rowOff>262255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6DE7AAA-C190-4E41-A5E4-07CDD2ECA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53340"/>
          <a:ext cx="2440391" cy="533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0</xdr:row>
      <xdr:rowOff>38100</xdr:rowOff>
    </xdr:from>
    <xdr:to>
      <xdr:col>1</xdr:col>
      <xdr:colOff>763991</xdr:colOff>
      <xdr:row>1</xdr:row>
      <xdr:rowOff>243840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8D47BE1-0B8E-42CD-8234-2259BD68B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" y="38100"/>
          <a:ext cx="2440391" cy="5334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17231</xdr:colOff>
      <xdr:row>1</xdr:row>
      <xdr:rowOff>205740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FFD90F0-E537-48FD-A3E5-AD0BFD2AD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40391" cy="5334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</xdr:colOff>
      <xdr:row>0</xdr:row>
      <xdr:rowOff>68580</xdr:rowOff>
    </xdr:from>
    <xdr:to>
      <xdr:col>1</xdr:col>
      <xdr:colOff>758275</xdr:colOff>
      <xdr:row>1</xdr:row>
      <xdr:rowOff>276225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88F58A-5135-4B12-A08E-5FF7DF7EE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99" y="68580"/>
          <a:ext cx="2440391" cy="5334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60960</xdr:rowOff>
    </xdr:from>
    <xdr:to>
      <xdr:col>1</xdr:col>
      <xdr:colOff>184871</xdr:colOff>
      <xdr:row>1</xdr:row>
      <xdr:rowOff>266700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2AD17EF-68C2-4304-A4E4-A787B8D08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" y="60960"/>
          <a:ext cx="2440391" cy="5334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634451</xdr:colOff>
      <xdr:row>1</xdr:row>
      <xdr:rowOff>205740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2BEDF83-6033-4D40-8A94-6A70C7621B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40391" cy="53340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Nicholas R. Norimoto" refreshedDate="46227.386128356484" createdVersion="8" refreshedVersion="8" minRefreshableVersion="3" recordCount="67" xr:uid="{4B4A5775-77A2-400F-8552-7C47936522D7}">
  <cacheSource type="worksheet">
    <worksheetSource ref="A25:E92" sheet="Attachment K - PCR"/>
  </cacheSource>
  <cacheFields count="5">
    <cacheField name="Fund" numFmtId="0">
      <sharedItems count="7">
        <s v="PCR01 - COST RECOVERY-INTERNAL SOURCES"/>
        <s v="PCR04 - ACAD FACILITY SPACE RENTAL"/>
        <s v="PCR05 - THEATRE SPACE RENTAL"/>
        <s v="PCR07 - CAPITAL PROJECT MANAGEMENT"/>
        <s v="PCR02 - COST RECOVERY-EXTERNAL SOURCES" u="1"/>
        <s v="PCR03 - FACULTY RELEASE TIME" u="1"/>
        <s v="PCR06 - FILM &amp; PHOTO SHOOT SPACE RNTL" u="1"/>
      </sharedItems>
    </cacheField>
    <cacheField name="Division" numFmtId="0">
      <sharedItems count="10">
        <s v="ACADEMIC AFFAIRS"/>
        <s v="ADMIN AFFAIRS"/>
        <s v="ENROLLMENT MANAGEMENT"/>
        <s v="INFORMATION TECH"/>
        <s v="PEOPLE AND CULTURE"/>
        <s v="PRESIDENTS OFFICE"/>
        <s v="STUDENT AFFAIRS"/>
        <s v="UNIV ADVANCEMENT"/>
        <s v="PPL CLTR &amp; INST AFFR" u="1"/>
        <s v="UNIVERSITY" u="1"/>
      </sharedItems>
    </cacheField>
    <cacheField name="Dept ID" numFmtId="0">
      <sharedItems/>
    </cacheField>
    <cacheField name="Class*" numFmtId="0">
      <sharedItems/>
    </cacheField>
    <cacheField name="Est. Budget" numFmtId="164">
      <sharedItems containsSemiMixedTypes="0" containsString="0" containsNumber="1" containsInteger="1" minValue="2383" maxValue="305055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7">
  <r>
    <x v="0"/>
    <x v="0"/>
    <s v="20000"/>
    <s v="00000 - NO CLASS VALUE"/>
    <n v="200000"/>
  </r>
  <r>
    <x v="0"/>
    <x v="0"/>
    <s v="20001"/>
    <s v="00000 - NO CLASS VALUE"/>
    <n v="3050557"/>
  </r>
  <r>
    <x v="0"/>
    <x v="0"/>
    <s v="21000"/>
    <s v="00000 - NO CLASS VALUE"/>
    <n v="52986"/>
  </r>
  <r>
    <x v="0"/>
    <x v="0"/>
    <s v="30200"/>
    <s v="TX107 - RENT OF FACILITIES-THEATRE"/>
    <n v="16530"/>
  </r>
  <r>
    <x v="0"/>
    <x v="0"/>
    <s v="41200"/>
    <s v="00000 - NO CLASS VALUE"/>
    <n v="60000"/>
  </r>
  <r>
    <x v="0"/>
    <x v="0"/>
    <s v="44500"/>
    <s v="00000 - NO CLASS VALUE"/>
    <n v="55000"/>
  </r>
  <r>
    <x v="0"/>
    <x v="0"/>
    <s v="50700"/>
    <s v="C3344 - STUDENT SUCCESS RFP"/>
    <n v="177518"/>
  </r>
  <r>
    <x v="0"/>
    <x v="0"/>
    <s v="55800"/>
    <s v="00000 - NO CLASS VALUE"/>
    <n v="4000"/>
  </r>
  <r>
    <x v="0"/>
    <x v="0"/>
    <s v="55800"/>
    <s v="C3188 - I-POLY LEASE"/>
    <n v="9752"/>
  </r>
  <r>
    <x v="0"/>
    <x v="0"/>
    <s v="62100"/>
    <s v="00000 - NO CLASS VALUE"/>
    <n v="151680"/>
  </r>
  <r>
    <x v="0"/>
    <x v="1"/>
    <s v="67400"/>
    <s v="00000 - NO CLASS VALUE"/>
    <n v="500000"/>
  </r>
  <r>
    <x v="0"/>
    <x v="1"/>
    <s v="67700"/>
    <s v="00000 - NO CLASS VALUE"/>
    <n v="1534580"/>
  </r>
  <r>
    <x v="0"/>
    <x v="1"/>
    <s v="67900"/>
    <s v="00000 - NO CLASS VALUE"/>
    <n v="681292"/>
  </r>
  <r>
    <x v="0"/>
    <x v="1"/>
    <s v="69100"/>
    <s v="C5005 - PRINT MIMEO"/>
    <n v="174245"/>
  </r>
  <r>
    <x v="0"/>
    <x v="1"/>
    <s v="69300"/>
    <s v="C3315 - POSTAGE/DELIVERY SVC"/>
    <n v="80336"/>
  </r>
  <r>
    <x v="0"/>
    <x v="1"/>
    <s v="70100"/>
    <s v="00000 - NO CLASS VALUE"/>
    <n v="99398"/>
  </r>
  <r>
    <x v="0"/>
    <x v="1"/>
    <s v="70800"/>
    <s v="00000 - NO CLASS VALUE"/>
    <n v="447717"/>
  </r>
  <r>
    <x v="0"/>
    <x v="1"/>
    <s v="71063"/>
    <s v="00000 - NO CLASS VALUE"/>
    <n v="257189"/>
  </r>
  <r>
    <x v="0"/>
    <x v="1"/>
    <s v="71100"/>
    <s v="00000 - NO CLASS VALUE"/>
    <n v="20815"/>
  </r>
  <r>
    <x v="0"/>
    <x v="1"/>
    <s v="71201"/>
    <s v="00000 - NO CLASS VALUE"/>
    <n v="286192"/>
  </r>
  <r>
    <x v="0"/>
    <x v="1"/>
    <s v="71202"/>
    <s v="00000 - NO CLASS VALUE"/>
    <n v="41801"/>
  </r>
  <r>
    <x v="0"/>
    <x v="1"/>
    <s v="71204"/>
    <s v="00000 - NO CLASS VALUE"/>
    <n v="125884"/>
  </r>
  <r>
    <x v="0"/>
    <x v="1"/>
    <s v="71205"/>
    <s v="00000 - NO CLASS VALUE"/>
    <n v="19151"/>
  </r>
  <r>
    <x v="0"/>
    <x v="1"/>
    <s v="71300"/>
    <s v="00000 - NO CLASS VALUE"/>
    <n v="165956"/>
  </r>
  <r>
    <x v="0"/>
    <x v="1"/>
    <s v="71360"/>
    <s v="00000 - NO CLASS VALUE"/>
    <n v="1511166"/>
  </r>
  <r>
    <x v="0"/>
    <x v="1"/>
    <s v="71400"/>
    <s v="00000 - NO CLASS VALUE"/>
    <n v="18831"/>
  </r>
  <r>
    <x v="0"/>
    <x v="1"/>
    <s v="71501"/>
    <s v="00000 - NO CLASS VALUE"/>
    <n v="314512"/>
  </r>
  <r>
    <x v="0"/>
    <x v="1"/>
    <s v="71504"/>
    <s v="00000 - NO CLASS VALUE"/>
    <n v="1085000"/>
  </r>
  <r>
    <x v="0"/>
    <x v="1"/>
    <s v="72100"/>
    <s v="00000 - NO CLASS VALUE"/>
    <n v="217318"/>
  </r>
  <r>
    <x v="0"/>
    <x v="1"/>
    <s v="72600"/>
    <s v="00000 - NO CLASS VALUE"/>
    <n v="5000"/>
  </r>
  <r>
    <x v="0"/>
    <x v="1"/>
    <s v="72664"/>
    <s v="00000 - NO CLASS VALUE"/>
    <n v="10607"/>
  </r>
  <r>
    <x v="0"/>
    <x v="1"/>
    <s v="72675"/>
    <s v="00000 - NO CLASS VALUE"/>
    <n v="942872"/>
  </r>
  <r>
    <x v="0"/>
    <x v="1"/>
    <s v="72678"/>
    <s v="00000 - NO CLASS VALUE"/>
    <n v="108830"/>
  </r>
  <r>
    <x v="0"/>
    <x v="1"/>
    <s v="72679"/>
    <s v="00000 - NO CLASS VALUE"/>
    <n v="425456"/>
  </r>
  <r>
    <x v="0"/>
    <x v="1"/>
    <s v="72681"/>
    <s v="00000 - NO CLASS VALUE"/>
    <n v="31116"/>
  </r>
  <r>
    <x v="0"/>
    <x v="1"/>
    <s v="75000"/>
    <s v="00000 - NO CLASS VALUE"/>
    <n v="140000"/>
  </r>
  <r>
    <x v="0"/>
    <x v="1"/>
    <s v="96000"/>
    <s v="00000 - NO CLASS VALUE"/>
    <n v="293330"/>
  </r>
  <r>
    <x v="0"/>
    <x v="2"/>
    <s v="63700"/>
    <s v="00000 - NO CLASS VALUE"/>
    <n v="300000"/>
  </r>
  <r>
    <x v="0"/>
    <x v="3"/>
    <s v="34063"/>
    <s v="00000 - NO CLASS VALUE"/>
    <n v="1855000"/>
  </r>
  <r>
    <x v="0"/>
    <x v="3"/>
    <s v="34063"/>
    <s v="C5150 - PRODUCTION SERVICES FUNDS"/>
    <n v="37500"/>
  </r>
  <r>
    <x v="0"/>
    <x v="3"/>
    <s v="34063"/>
    <s v="C5200 - AUXILIARY CB"/>
    <n v="1718000"/>
  </r>
  <r>
    <x v="0"/>
    <x v="3"/>
    <s v="34063"/>
    <s v="C5210 - NETWORK AUXILIARY"/>
    <n v="75250"/>
  </r>
  <r>
    <x v="0"/>
    <x v="3"/>
    <s v="34063"/>
    <s v="C5211 - IT NETWORKS"/>
    <n v="192000"/>
  </r>
  <r>
    <x v="0"/>
    <x v="3"/>
    <s v="34063"/>
    <s v="C5212 - IT CLASSROOM TECH"/>
    <n v="350000"/>
  </r>
  <r>
    <x v="0"/>
    <x v="3"/>
    <s v="34063"/>
    <s v="C5213 - DIGITAL SIGNAGE"/>
    <n v="33750"/>
  </r>
  <r>
    <x v="0"/>
    <x v="3"/>
    <s v="34063"/>
    <s v="C5230 - COMPUTER BULK BUY"/>
    <n v="32000"/>
  </r>
  <r>
    <x v="0"/>
    <x v="3"/>
    <s v="34063"/>
    <s v="C5240 - MOU SPECIFIC AA"/>
    <n v="983000"/>
  </r>
  <r>
    <x v="0"/>
    <x v="4"/>
    <s v="69600"/>
    <s v="00000 - NO CLASS VALUE"/>
    <n v="202222"/>
  </r>
  <r>
    <x v="0"/>
    <x v="4"/>
    <s v="69610"/>
    <s v="00000 - NO CLASS VALUE"/>
    <n v="38846"/>
  </r>
  <r>
    <x v="0"/>
    <x v="4"/>
    <s v="69710"/>
    <s v="00000 - NO CLASS VALUE"/>
    <n v="22061"/>
  </r>
  <r>
    <x v="0"/>
    <x v="4"/>
    <s v="69720"/>
    <s v="00000 - NO CLASS VALUE"/>
    <n v="98647"/>
  </r>
  <r>
    <x v="0"/>
    <x v="4"/>
    <s v="69730"/>
    <s v="00000 - NO CLASS VALUE"/>
    <n v="48148"/>
  </r>
  <r>
    <x v="0"/>
    <x v="4"/>
    <s v="69740"/>
    <s v="00000 - NO CLASS VALUE"/>
    <n v="139834"/>
  </r>
  <r>
    <x v="0"/>
    <x v="5"/>
    <s v="73700"/>
    <s v="00000 - NO CLASS VALUE"/>
    <n v="140000"/>
  </r>
  <r>
    <x v="0"/>
    <x v="5"/>
    <s v="73750"/>
    <s v="00000 - NO CLASS VALUE"/>
    <n v="8345"/>
  </r>
  <r>
    <x v="0"/>
    <x v="6"/>
    <s v="61500"/>
    <s v="00000 - NO CLASS VALUE"/>
    <n v="585000"/>
  </r>
  <r>
    <x v="0"/>
    <x v="6"/>
    <s v="63000"/>
    <s v="00000 - NO CLASS VALUE"/>
    <n v="158560"/>
  </r>
  <r>
    <x v="0"/>
    <x v="7"/>
    <s v="74300"/>
    <s v="00000 - NO CLASS VALUE"/>
    <n v="416274"/>
  </r>
  <r>
    <x v="0"/>
    <x v="7"/>
    <s v="74310"/>
    <s v="00000 - NO CLASS VALUE"/>
    <n v="141193"/>
  </r>
  <r>
    <x v="0"/>
    <x v="7"/>
    <s v="74400"/>
    <s v="00000 - NO CLASS VALUE"/>
    <n v="70949"/>
  </r>
  <r>
    <x v="0"/>
    <x v="7"/>
    <s v="74600"/>
    <s v="00000 - NO CLASS VALUE"/>
    <n v="85514"/>
  </r>
  <r>
    <x v="0"/>
    <x v="7"/>
    <s v="74610"/>
    <s v="00000 - NO CLASS VALUE"/>
    <n v="239253"/>
  </r>
  <r>
    <x v="0"/>
    <x v="7"/>
    <s v="74800"/>
    <s v="00000 - NO CLASS VALUE"/>
    <n v="37678"/>
  </r>
  <r>
    <x v="1"/>
    <x v="7"/>
    <s v="72010"/>
    <s v="TX110 - LOF - RENTAL OF FACILITIES"/>
    <n v="203195"/>
  </r>
  <r>
    <x v="1"/>
    <x v="7"/>
    <s v="72010"/>
    <s v="TX116 - FILMING AND PHOTO SHOOTS"/>
    <n v="2383"/>
  </r>
  <r>
    <x v="2"/>
    <x v="0"/>
    <s v="30200"/>
    <s v="TX107 - RENT OF FACILITIES-THEATRE"/>
    <n v="5284"/>
  </r>
  <r>
    <x v="3"/>
    <x v="1"/>
    <s v="96264"/>
    <s v="00000 - NO CLASS VALUE"/>
    <n v="47138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E359ADB-CFD4-4931-8527-70A7C3326FEA}" name="PivotTable6" cacheId="0" applyNumberFormats="0" applyBorderFormats="0" applyFontFormats="0" applyPatternFormats="0" applyAlignmentFormats="0" applyWidthHeightFormats="1" dataCaption="Values" updatedVersion="8" minRefreshableVersion="3" itemPrintTitles="1" createdVersion="8" indent="0" outline="1" outlineData="1" multipleFieldFilters="0">
  <location ref="A97:F107" firstHeaderRow="1" firstDataRow="2" firstDataCol="1"/>
  <pivotFields count="5">
    <pivotField axis="axisCol" showAll="0">
      <items count="8">
        <item x="0"/>
        <item m="1" x="4"/>
        <item m="1" x="5"/>
        <item x="1"/>
        <item x="2"/>
        <item m="1" x="6"/>
        <item x="3"/>
        <item t="default"/>
      </items>
    </pivotField>
    <pivotField axis="axisRow" showAll="0">
      <items count="11">
        <item x="5"/>
        <item m="1" x="8"/>
        <item x="0"/>
        <item x="1"/>
        <item x="3"/>
        <item x="6"/>
        <item x="7"/>
        <item m="1" x="9"/>
        <item x="2"/>
        <item x="4"/>
        <item t="default"/>
      </items>
    </pivotField>
    <pivotField showAll="0"/>
    <pivotField showAll="0"/>
    <pivotField dataField="1" numFmtId="43" showAll="0"/>
  </pivotFields>
  <rowFields count="1">
    <field x="1"/>
  </rowFields>
  <rowItems count="9">
    <i>
      <x/>
    </i>
    <i>
      <x v="2"/>
    </i>
    <i>
      <x v="3"/>
    </i>
    <i>
      <x v="4"/>
    </i>
    <i>
      <x v="5"/>
    </i>
    <i>
      <x v="6"/>
    </i>
    <i>
      <x v="8"/>
    </i>
    <i>
      <x v="9"/>
    </i>
    <i t="grand">
      <x/>
    </i>
  </rowItems>
  <colFields count="1">
    <field x="0"/>
  </colFields>
  <colItems count="5">
    <i>
      <x/>
    </i>
    <i>
      <x v="3"/>
    </i>
    <i>
      <x v="4"/>
    </i>
    <i>
      <x v="6"/>
    </i>
    <i t="grand">
      <x/>
    </i>
  </colItems>
  <dataFields count="1">
    <dataField name="Sum of Est. Budget" fld="4" baseField="1" baseItem="6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1" Type="http://schemas.openxmlformats.org/officeDocument/2006/relationships/pivotTable" Target="../pivotTables/pivotTable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4674B-65B6-4F53-B6E4-6015E7667324}">
  <sheetPr>
    <tabColor rgb="FFFFC000"/>
    <pageSetUpPr fitToPage="1"/>
  </sheetPr>
  <dimension ref="A1:N54"/>
  <sheetViews>
    <sheetView workbookViewId="0"/>
  </sheetViews>
  <sheetFormatPr defaultColWidth="8.85546875" defaultRowHeight="15" x14ac:dyDescent="0.25"/>
  <cols>
    <col min="1" max="1" width="25.28515625" style="2" customWidth="1"/>
    <col min="2" max="2" width="13.85546875" style="1" customWidth="1"/>
    <col min="3" max="5" width="13" style="1" customWidth="1"/>
    <col min="6" max="6" width="14.28515625" style="1" customWidth="1"/>
    <col min="7" max="7" width="13" style="1" customWidth="1"/>
    <col min="8" max="8" width="14.28515625" style="1" customWidth="1"/>
    <col min="9" max="9" width="14.5703125" style="1" customWidth="1"/>
    <col min="10" max="10" width="14.140625" style="1" customWidth="1"/>
    <col min="11" max="11" width="14.42578125" style="1" customWidth="1"/>
    <col min="12" max="12" width="17.5703125" style="1" customWidth="1"/>
    <col min="13" max="13" width="14.28515625" style="2" customWidth="1"/>
    <col min="14" max="14" width="11" style="2" bestFit="1" customWidth="1"/>
    <col min="15" max="15" width="22.85546875" style="2" bestFit="1" customWidth="1"/>
    <col min="16" max="17" width="19.42578125" style="2" customWidth="1"/>
    <col min="18" max="18" width="31.85546875" style="2" customWidth="1"/>
    <col min="19" max="16384" width="8.85546875" style="2"/>
  </cols>
  <sheetData>
    <row r="1" spans="1:14" ht="25.9" customHeight="1" x14ac:dyDescent="0.4">
      <c r="A1" s="3"/>
      <c r="I1" s="26"/>
      <c r="J1" s="26"/>
      <c r="K1" s="26"/>
      <c r="L1" s="26"/>
      <c r="N1" s="27"/>
    </row>
    <row r="2" spans="1:14" ht="25.9" customHeight="1" x14ac:dyDescent="0.3">
      <c r="A2" s="3"/>
      <c r="I2" s="6"/>
      <c r="J2" s="6"/>
      <c r="K2" s="6"/>
      <c r="L2" s="6"/>
      <c r="M2" s="28"/>
      <c r="N2" s="28"/>
    </row>
    <row r="3" spans="1:14" ht="18.75" customHeight="1" x14ac:dyDescent="0.3">
      <c r="A3" s="3" t="s">
        <v>333</v>
      </c>
      <c r="J3" s="6"/>
      <c r="K3" s="6" t="s">
        <v>314</v>
      </c>
      <c r="N3" s="28"/>
    </row>
    <row r="4" spans="1:14" ht="20.100000000000001" customHeight="1" x14ac:dyDescent="0.3">
      <c r="A4" s="17">
        <v>46240</v>
      </c>
      <c r="M4" s="29"/>
      <c r="N4" s="29"/>
    </row>
    <row r="5" spans="1:14" x14ac:dyDescent="0.25">
      <c r="B5" s="158" t="s">
        <v>0</v>
      </c>
      <c r="C5" s="159"/>
      <c r="D5" s="159"/>
      <c r="E5" s="159"/>
      <c r="F5" s="159"/>
      <c r="G5" s="159"/>
      <c r="H5" s="160"/>
      <c r="I5" s="45" t="s">
        <v>1</v>
      </c>
      <c r="J5" s="45" t="s">
        <v>2</v>
      </c>
      <c r="K5" s="45" t="s">
        <v>3</v>
      </c>
      <c r="L5" s="2"/>
    </row>
    <row r="6" spans="1:14" x14ac:dyDescent="0.25">
      <c r="B6" s="161" t="s">
        <v>335</v>
      </c>
      <c r="C6" s="162"/>
      <c r="D6" s="162"/>
      <c r="E6" s="162"/>
      <c r="F6" s="162"/>
      <c r="G6" s="162"/>
      <c r="H6" s="163"/>
      <c r="I6" s="46" t="s">
        <v>335</v>
      </c>
      <c r="J6" s="46" t="s">
        <v>335</v>
      </c>
      <c r="K6" s="46" t="s">
        <v>4</v>
      </c>
      <c r="L6" s="2"/>
    </row>
    <row r="7" spans="1:14" x14ac:dyDescent="0.25">
      <c r="B7" s="1">
        <v>-1</v>
      </c>
      <c r="C7" s="1">
        <v>-2</v>
      </c>
      <c r="D7" s="1">
        <v>-3</v>
      </c>
      <c r="E7" s="1">
        <v>-4</v>
      </c>
      <c r="F7" s="1">
        <v>-5</v>
      </c>
      <c r="G7" s="1">
        <v>-6</v>
      </c>
      <c r="H7" s="30"/>
      <c r="I7" s="118"/>
      <c r="J7" s="54"/>
      <c r="K7" s="37"/>
      <c r="L7" s="2"/>
    </row>
    <row r="8" spans="1:14" ht="56.45" customHeight="1" thickBot="1" x14ac:dyDescent="0.3">
      <c r="A8" s="4"/>
      <c r="B8" s="145" t="s">
        <v>334</v>
      </c>
      <c r="C8" s="145" t="s">
        <v>340</v>
      </c>
      <c r="D8" s="145" t="s">
        <v>339</v>
      </c>
      <c r="E8" s="145" t="s">
        <v>341</v>
      </c>
      <c r="F8" s="145" t="s">
        <v>342</v>
      </c>
      <c r="G8" s="145" t="s">
        <v>539</v>
      </c>
      <c r="H8" s="146" t="s">
        <v>555</v>
      </c>
      <c r="I8" s="147" t="s">
        <v>5</v>
      </c>
      <c r="J8" s="148" t="s">
        <v>6</v>
      </c>
      <c r="K8" s="148" t="s">
        <v>554</v>
      </c>
      <c r="L8" s="2"/>
    </row>
    <row r="9" spans="1:14" ht="19.149999999999999" customHeight="1" x14ac:dyDescent="0.25">
      <c r="A9" s="14"/>
      <c r="B9" s="14"/>
      <c r="C9" s="14"/>
      <c r="D9" s="14"/>
      <c r="E9" s="14"/>
      <c r="F9" s="14"/>
      <c r="G9" s="14" t="s">
        <v>531</v>
      </c>
      <c r="H9" s="42"/>
      <c r="I9" s="38" t="s">
        <v>7</v>
      </c>
      <c r="J9" s="38" t="s">
        <v>8</v>
      </c>
      <c r="K9" s="38"/>
      <c r="L9" s="2"/>
    </row>
    <row r="10" spans="1:14" ht="17.45" customHeight="1" x14ac:dyDescent="0.25">
      <c r="A10" s="25" t="s">
        <v>9</v>
      </c>
      <c r="B10" s="7">
        <v>10597928</v>
      </c>
      <c r="C10" s="7">
        <v>130000</v>
      </c>
      <c r="D10" s="7">
        <v>52284</v>
      </c>
      <c r="E10" s="7">
        <f>99600+6485+154992</f>
        <v>261077</v>
      </c>
      <c r="F10" s="7">
        <v>350985</v>
      </c>
      <c r="G10" s="7">
        <f>+'Attachment G - Transfers'!H9</f>
        <v>-7905034</v>
      </c>
      <c r="H10" s="43">
        <f>SUM(B10:G10)</f>
        <v>3487240</v>
      </c>
      <c r="I10" s="50">
        <f>+'Attachment B - Desig Base'!D9</f>
        <v>0</v>
      </c>
      <c r="J10" s="50">
        <f>+'Attachment C - Fees Base'!I9</f>
        <v>0</v>
      </c>
      <c r="K10" s="50">
        <f t="shared" ref="K10:K14" si="0">+H10+I10+J10</f>
        <v>3487240</v>
      </c>
      <c r="L10" s="2"/>
    </row>
    <row r="11" spans="1:14" ht="17.45" customHeight="1" x14ac:dyDescent="0.25">
      <c r="A11" s="25" t="s">
        <v>10</v>
      </c>
      <c r="B11" s="7">
        <v>128815441</v>
      </c>
      <c r="C11" s="7">
        <v>1934572</v>
      </c>
      <c r="D11" s="7">
        <v>317964</v>
      </c>
      <c r="E11" s="7"/>
      <c r="F11" s="7">
        <v>6832546</v>
      </c>
      <c r="G11" s="7">
        <f>+'Attachment G - Transfers'!H10</f>
        <v>-6488959</v>
      </c>
      <c r="H11" s="43">
        <f t="shared" ref="H11:H21" si="1">SUM(B11:G11)</f>
        <v>131411564</v>
      </c>
      <c r="I11" s="50">
        <f>+'Attachment B - Desig Base'!D10</f>
        <v>14677190</v>
      </c>
      <c r="J11" s="50">
        <f>+'Attachment C - Fees Base'!I10</f>
        <v>7082932</v>
      </c>
      <c r="K11" s="50">
        <f t="shared" si="0"/>
        <v>153171686</v>
      </c>
      <c r="L11" s="2"/>
    </row>
    <row r="12" spans="1:14" ht="17.45" customHeight="1" x14ac:dyDescent="0.25">
      <c r="A12" s="25" t="s">
        <v>11</v>
      </c>
      <c r="B12" s="7">
        <v>22226803</v>
      </c>
      <c r="C12" s="7">
        <v>285995</v>
      </c>
      <c r="D12" s="7">
        <v>130740</v>
      </c>
      <c r="E12" s="7">
        <v>75000</v>
      </c>
      <c r="F12" s="7">
        <v>633658</v>
      </c>
      <c r="G12" s="7">
        <f>+'Attachment G - Transfers'!H11</f>
        <v>0</v>
      </c>
      <c r="H12" s="43">
        <f t="shared" si="1"/>
        <v>23352196</v>
      </c>
      <c r="I12" s="50">
        <f>+'Attachment B - Desig Base'!D11</f>
        <v>0</v>
      </c>
      <c r="J12" s="50">
        <f>+'Attachment C - Fees Base'!I11</f>
        <v>2648</v>
      </c>
      <c r="K12" s="50">
        <f t="shared" si="0"/>
        <v>23354844</v>
      </c>
      <c r="L12" s="2"/>
    </row>
    <row r="13" spans="1:14" ht="17.45" customHeight="1" x14ac:dyDescent="0.25">
      <c r="A13" s="25" t="s">
        <v>12</v>
      </c>
      <c r="B13" s="7">
        <v>13968175</v>
      </c>
      <c r="C13" s="7">
        <v>33000</v>
      </c>
      <c r="D13" s="7">
        <v>80484</v>
      </c>
      <c r="E13" s="7">
        <v>35000</v>
      </c>
      <c r="F13" s="7">
        <v>473387</v>
      </c>
      <c r="G13" s="7">
        <f>+'Attachment G - Transfers'!H12</f>
        <v>0</v>
      </c>
      <c r="H13" s="43">
        <f t="shared" si="1"/>
        <v>14590046</v>
      </c>
      <c r="I13" s="50">
        <f>+'Attachment B - Desig Base'!D12</f>
        <v>112304</v>
      </c>
      <c r="J13" s="50">
        <f>+'Attachment C - Fees Base'!I12</f>
        <v>3338018</v>
      </c>
      <c r="K13" s="50">
        <f t="shared" si="0"/>
        <v>18040368</v>
      </c>
      <c r="L13" s="2"/>
    </row>
    <row r="14" spans="1:14" ht="17.45" customHeight="1" x14ac:dyDescent="0.25">
      <c r="A14" s="25" t="s">
        <v>13</v>
      </c>
      <c r="B14" s="7">
        <v>8294124</v>
      </c>
      <c r="C14" s="7"/>
      <c r="D14" s="7">
        <v>53856</v>
      </c>
      <c r="E14" s="7">
        <f>300000+1000000</f>
        <v>1300000</v>
      </c>
      <c r="F14" s="7">
        <v>369292</v>
      </c>
      <c r="G14" s="7">
        <f>+'Attachment G - Transfers'!H13</f>
        <v>0</v>
      </c>
      <c r="H14" s="43">
        <f t="shared" si="1"/>
        <v>10017272</v>
      </c>
      <c r="I14" s="50">
        <f>+'Attachment B - Desig Base'!D13</f>
        <v>4873714</v>
      </c>
      <c r="J14" s="50">
        <f>+'Attachment C - Fees Base'!I13</f>
        <v>13726464</v>
      </c>
      <c r="K14" s="50">
        <f t="shared" si="0"/>
        <v>28617450</v>
      </c>
      <c r="L14" s="2"/>
    </row>
    <row r="15" spans="1:14" ht="17.45" customHeight="1" x14ac:dyDescent="0.25">
      <c r="A15" s="25" t="s">
        <v>14</v>
      </c>
      <c r="B15" s="7">
        <v>4814137</v>
      </c>
      <c r="C15" s="7"/>
      <c r="D15" s="7">
        <v>25308</v>
      </c>
      <c r="E15" s="7">
        <v>200000</v>
      </c>
      <c r="F15" s="7">
        <v>153105</v>
      </c>
      <c r="G15" s="7">
        <f>+'Attachment G - Transfers'!H14</f>
        <v>1775592</v>
      </c>
      <c r="H15" s="43">
        <f t="shared" ref="H15" si="2">SUM(B15:G15)</f>
        <v>6968142</v>
      </c>
      <c r="I15" s="50">
        <f>+'Attachment B - Desig Base'!D14</f>
        <v>0</v>
      </c>
      <c r="J15" s="50">
        <f>+'Attachment C - Fees Base'!I14</f>
        <v>645180</v>
      </c>
      <c r="K15" s="50">
        <f t="shared" ref="K15:K17" si="3">+H15+I15+J15</f>
        <v>7613322</v>
      </c>
      <c r="L15" s="2"/>
    </row>
    <row r="16" spans="1:14" ht="17.45" customHeight="1" x14ac:dyDescent="0.25">
      <c r="A16" s="25" t="s">
        <v>507</v>
      </c>
      <c r="B16" s="7"/>
      <c r="C16" s="7"/>
      <c r="D16" s="7"/>
      <c r="E16" s="7"/>
      <c r="F16" s="7"/>
      <c r="G16" s="7">
        <f>+'Attachment G - Transfers'!H15</f>
        <v>7559855</v>
      </c>
      <c r="H16" s="43">
        <f t="shared" ref="H16:H17" si="4">SUM(B16:G16)</f>
        <v>7559855</v>
      </c>
      <c r="I16" s="50">
        <f>+'Attachment B - Desig Base'!D15</f>
        <v>572095</v>
      </c>
      <c r="J16" s="50">
        <f>+'Attachment C - Fees Base'!I15</f>
        <v>148986</v>
      </c>
      <c r="K16" s="50">
        <f t="shared" si="3"/>
        <v>8280936</v>
      </c>
      <c r="L16" s="2"/>
    </row>
    <row r="17" spans="1:12" ht="17.45" customHeight="1" x14ac:dyDescent="0.25">
      <c r="A17" s="25" t="s">
        <v>508</v>
      </c>
      <c r="B17" s="7"/>
      <c r="C17" s="7"/>
      <c r="D17" s="7"/>
      <c r="E17" s="7"/>
      <c r="F17" s="7"/>
      <c r="G17" s="7">
        <f>+'Attachment G - Transfers'!H16</f>
        <v>5058546</v>
      </c>
      <c r="H17" s="43">
        <f t="shared" si="4"/>
        <v>5058546</v>
      </c>
      <c r="I17" s="50">
        <f>+'Attachment B - Desig Base'!D16</f>
        <v>0</v>
      </c>
      <c r="J17" s="50">
        <f>+'Attachment C - Fees Base'!I16</f>
        <v>0</v>
      </c>
      <c r="K17" s="50">
        <f t="shared" si="3"/>
        <v>5058546</v>
      </c>
      <c r="L17" s="2"/>
    </row>
    <row r="18" spans="1:12" ht="17.45" customHeight="1" x14ac:dyDescent="0.25">
      <c r="A18" s="51" t="s">
        <v>15</v>
      </c>
      <c r="B18" s="8">
        <f t="shared" ref="B18:I18" si="5">SUM(B10:B17)</f>
        <v>188716608</v>
      </c>
      <c r="C18" s="8">
        <f t="shared" si="5"/>
        <v>2383567</v>
      </c>
      <c r="D18" s="8">
        <f t="shared" si="5"/>
        <v>660636</v>
      </c>
      <c r="E18" s="8">
        <f t="shared" si="5"/>
        <v>1871077</v>
      </c>
      <c r="F18" s="8">
        <f t="shared" si="5"/>
        <v>8812973</v>
      </c>
      <c r="G18" s="8">
        <f t="shared" si="5"/>
        <v>0</v>
      </c>
      <c r="H18" s="39">
        <f t="shared" si="5"/>
        <v>202444861</v>
      </c>
      <c r="I18" s="39">
        <f t="shared" si="5"/>
        <v>20235303</v>
      </c>
      <c r="J18" s="39">
        <f t="shared" ref="J18" si="6">SUM(J10:J17)</f>
        <v>24944228</v>
      </c>
      <c r="K18" s="39">
        <f>SUM(K10:K17)</f>
        <v>247624392</v>
      </c>
      <c r="L18" s="2"/>
    </row>
    <row r="19" spans="1:12" ht="17.45" customHeight="1" x14ac:dyDescent="0.25">
      <c r="A19" s="25" t="s">
        <v>224</v>
      </c>
      <c r="B19" s="115">
        <v>52420409</v>
      </c>
      <c r="C19" s="115"/>
      <c r="D19" s="115"/>
      <c r="E19" s="115">
        <v>793000</v>
      </c>
      <c r="F19" s="115"/>
      <c r="G19" s="115">
        <f>+'Attachment G - Transfers'!H18</f>
        <v>0</v>
      </c>
      <c r="H19" s="43">
        <f t="shared" si="1"/>
        <v>53213409</v>
      </c>
      <c r="I19" s="50">
        <f>+'Attachment B - Desig Base'!D18</f>
        <v>0</v>
      </c>
      <c r="J19" s="50">
        <f>+'Attachment C - Fees Base'!I18</f>
        <v>434635</v>
      </c>
      <c r="K19" s="50">
        <f>+H19+I19+J19</f>
        <v>53648044</v>
      </c>
      <c r="L19" s="2"/>
    </row>
    <row r="20" spans="1:12" ht="17.45" customHeight="1" x14ac:dyDescent="0.25">
      <c r="A20" s="25" t="s">
        <v>556</v>
      </c>
      <c r="B20" s="115"/>
      <c r="C20" s="115"/>
      <c r="D20" s="115"/>
      <c r="E20" s="115">
        <v>3800000</v>
      </c>
      <c r="F20" s="115"/>
      <c r="G20" s="115"/>
      <c r="H20" s="43">
        <f t="shared" ref="H20" si="7">SUM(B20:G20)</f>
        <v>3800000</v>
      </c>
      <c r="I20" s="50">
        <f>+'Attachment B - Desig Base'!D19</f>
        <v>0</v>
      </c>
      <c r="J20" s="50">
        <f>+'Attachment C - Fees Base'!I19</f>
        <v>0</v>
      </c>
      <c r="K20" s="50">
        <f>+H20+I20+J20</f>
        <v>3800000</v>
      </c>
      <c r="L20" s="2"/>
    </row>
    <row r="21" spans="1:12" ht="17.45" customHeight="1" x14ac:dyDescent="0.25">
      <c r="A21" s="25" t="s">
        <v>553</v>
      </c>
      <c r="B21" s="7">
        <v>135866835</v>
      </c>
      <c r="C21" s="7">
        <v>-2383567</v>
      </c>
      <c r="D21" s="7">
        <v>-660636</v>
      </c>
      <c r="E21" s="7">
        <f>389037068-379506452-6485-154992-3800000</f>
        <v>5569139</v>
      </c>
      <c r="F21" s="7">
        <v>-8812973</v>
      </c>
      <c r="G21" s="7">
        <f>+'Attachment G - Transfers'!H19</f>
        <v>0</v>
      </c>
      <c r="H21" s="43">
        <f t="shared" si="1"/>
        <v>129578798</v>
      </c>
      <c r="I21" s="50">
        <f>+'Attachment B - Desig Base'!D20</f>
        <v>7979497</v>
      </c>
      <c r="J21" s="50">
        <f>+'Attachment C - Fees Base'!I20</f>
        <v>28034</v>
      </c>
      <c r="K21" s="50">
        <f>+H21+I21+J21</f>
        <v>137586329</v>
      </c>
      <c r="L21" s="33"/>
    </row>
    <row r="22" spans="1:12" ht="18" customHeight="1" thickBot="1" x14ac:dyDescent="0.3">
      <c r="A22" s="52" t="s">
        <v>18</v>
      </c>
      <c r="B22" s="11">
        <f t="shared" ref="B22:K22" si="8">SUM(B18:B21)</f>
        <v>377003852</v>
      </c>
      <c r="C22" s="11">
        <f t="shared" si="8"/>
        <v>0</v>
      </c>
      <c r="D22" s="11">
        <f t="shared" si="8"/>
        <v>0</v>
      </c>
      <c r="E22" s="11">
        <f t="shared" si="8"/>
        <v>12033216</v>
      </c>
      <c r="F22" s="11">
        <f t="shared" si="8"/>
        <v>0</v>
      </c>
      <c r="G22" s="11">
        <f t="shared" si="8"/>
        <v>0</v>
      </c>
      <c r="H22" s="40">
        <f t="shared" si="8"/>
        <v>389037068</v>
      </c>
      <c r="I22" s="40">
        <f t="shared" si="8"/>
        <v>28214800</v>
      </c>
      <c r="J22" s="40">
        <f t="shared" si="8"/>
        <v>25406897</v>
      </c>
      <c r="K22" s="40">
        <f t="shared" si="8"/>
        <v>442658765</v>
      </c>
      <c r="L22" s="2"/>
    </row>
    <row r="23" spans="1:12" x14ac:dyDescent="0.25">
      <c r="A23" s="35"/>
    </row>
    <row r="24" spans="1:12" x14ac:dyDescent="0.25">
      <c r="A24" s="2" t="s">
        <v>336</v>
      </c>
    </row>
    <row r="25" spans="1:12" x14ac:dyDescent="0.25">
      <c r="A25" s="2" t="s">
        <v>352</v>
      </c>
    </row>
    <row r="26" spans="1:12" x14ac:dyDescent="0.25">
      <c r="A26" s="88" t="s">
        <v>343</v>
      </c>
    </row>
    <row r="27" spans="1:12" x14ac:dyDescent="0.25">
      <c r="A27" s="2" t="s">
        <v>533</v>
      </c>
    </row>
    <row r="28" spans="1:12" x14ac:dyDescent="0.25">
      <c r="A28" s="2" t="s">
        <v>534</v>
      </c>
    </row>
    <row r="29" spans="1:12" x14ac:dyDescent="0.25">
      <c r="A29" s="2" t="s">
        <v>535</v>
      </c>
    </row>
    <row r="30" spans="1:12" x14ac:dyDescent="0.25">
      <c r="A30" s="2" t="s">
        <v>536</v>
      </c>
    </row>
    <row r="31" spans="1:12" x14ac:dyDescent="0.25">
      <c r="A31" s="88" t="s">
        <v>344</v>
      </c>
    </row>
    <row r="32" spans="1:12" x14ac:dyDescent="0.25">
      <c r="A32" s="2" t="s">
        <v>537</v>
      </c>
    </row>
    <row r="33" spans="1:5" x14ac:dyDescent="0.25">
      <c r="A33" s="2" t="s">
        <v>538</v>
      </c>
    </row>
    <row r="34" spans="1:5" x14ac:dyDescent="0.25">
      <c r="A34" s="2" t="s">
        <v>528</v>
      </c>
    </row>
    <row r="35" spans="1:5" x14ac:dyDescent="0.25">
      <c r="A35" s="2" t="s">
        <v>349</v>
      </c>
    </row>
    <row r="36" spans="1:5" x14ac:dyDescent="0.25">
      <c r="A36" s="74" t="s">
        <v>152</v>
      </c>
      <c r="B36" s="164" t="s">
        <v>345</v>
      </c>
      <c r="C36" s="165"/>
      <c r="D36" s="166"/>
      <c r="E36" s="149" t="s">
        <v>335</v>
      </c>
    </row>
    <row r="37" spans="1:5" x14ac:dyDescent="0.25">
      <c r="A37" s="74" t="s">
        <v>152</v>
      </c>
      <c r="B37" s="142" t="s">
        <v>346</v>
      </c>
      <c r="C37" s="142" t="s">
        <v>347</v>
      </c>
      <c r="D37" s="142" t="s">
        <v>4</v>
      </c>
      <c r="E37" s="150" t="s">
        <v>354</v>
      </c>
    </row>
    <row r="38" spans="1:5" x14ac:dyDescent="0.25">
      <c r="A38" s="143" t="s">
        <v>348</v>
      </c>
      <c r="B38" s="74"/>
      <c r="C38" s="140"/>
      <c r="D38" s="74"/>
      <c r="E38" s="151">
        <f>+E45/C45</f>
        <v>0.61420521769441483</v>
      </c>
    </row>
    <row r="39" spans="1:5" x14ac:dyDescent="0.25">
      <c r="A39" s="74" t="s">
        <v>9</v>
      </c>
      <c r="B39" s="74">
        <v>120311</v>
      </c>
      <c r="C39" s="140">
        <v>350985</v>
      </c>
      <c r="D39" s="74">
        <f>SUM(B39:C39)</f>
        <v>471296</v>
      </c>
      <c r="E39" s="140">
        <v>215577</v>
      </c>
    </row>
    <row r="40" spans="1:5" x14ac:dyDescent="0.25">
      <c r="A40" s="74" t="s">
        <v>10</v>
      </c>
      <c r="B40" s="74">
        <v>2342001</v>
      </c>
      <c r="C40" s="140">
        <v>6832546</v>
      </c>
      <c r="D40" s="74">
        <f t="shared" ref="D40:D44" si="9">SUM(B40:C40)</f>
        <v>9174547</v>
      </c>
      <c r="E40" s="140">
        <v>4196585</v>
      </c>
    </row>
    <row r="41" spans="1:5" x14ac:dyDescent="0.25">
      <c r="A41" s="74" t="s">
        <v>11</v>
      </c>
      <c r="B41" s="74">
        <v>217178</v>
      </c>
      <c r="C41" s="140">
        <v>633658</v>
      </c>
      <c r="D41" s="74">
        <f t="shared" si="9"/>
        <v>850836</v>
      </c>
      <c r="E41" s="140">
        <v>389196</v>
      </c>
    </row>
    <row r="42" spans="1:5" x14ac:dyDescent="0.25">
      <c r="A42" s="74" t="s">
        <v>12</v>
      </c>
      <c r="B42" s="74">
        <v>162265</v>
      </c>
      <c r="C42" s="140">
        <v>473387</v>
      </c>
      <c r="D42" s="74">
        <f t="shared" si="9"/>
        <v>635652</v>
      </c>
      <c r="E42" s="140">
        <v>290757</v>
      </c>
    </row>
    <row r="43" spans="1:5" x14ac:dyDescent="0.25">
      <c r="A43" s="74" t="s">
        <v>13</v>
      </c>
      <c r="B43" s="74">
        <v>126589</v>
      </c>
      <c r="C43" s="140">
        <v>369292</v>
      </c>
      <c r="D43" s="74">
        <f t="shared" si="9"/>
        <v>495881</v>
      </c>
      <c r="E43" s="140">
        <v>226821</v>
      </c>
    </row>
    <row r="44" spans="1:5" x14ac:dyDescent="0.25">
      <c r="A44" s="74" t="s">
        <v>14</v>
      </c>
      <c r="B44" s="74">
        <v>52477</v>
      </c>
      <c r="C44" s="140">
        <v>153105</v>
      </c>
      <c r="D44" s="74">
        <f t="shared" si="9"/>
        <v>205582</v>
      </c>
      <c r="E44" s="140">
        <v>94038</v>
      </c>
    </row>
    <row r="45" spans="1:5" x14ac:dyDescent="0.25">
      <c r="A45" s="74"/>
      <c r="B45" s="144">
        <f>SUM(B39:B44)</f>
        <v>3020821</v>
      </c>
      <c r="C45" s="141">
        <f>SUM(C39:C44)</f>
        <v>8812973</v>
      </c>
      <c r="D45" s="144">
        <f>SUM(D39:D44)</f>
        <v>11833794</v>
      </c>
      <c r="E45" s="152">
        <f t="shared" ref="E45" si="10">SUM(E39:E44)</f>
        <v>5412974</v>
      </c>
    </row>
    <row r="46" spans="1:5" x14ac:dyDescent="0.25">
      <c r="A46" s="2" t="s">
        <v>530</v>
      </c>
    </row>
    <row r="53" ht="13.9" customHeight="1" x14ac:dyDescent="0.25"/>
    <row r="54" ht="13.9" customHeight="1" x14ac:dyDescent="0.25"/>
  </sheetData>
  <mergeCells count="3">
    <mergeCell ref="B5:H5"/>
    <mergeCell ref="B6:H6"/>
    <mergeCell ref="B36:D36"/>
  </mergeCells>
  <printOptions horizontalCentered="1"/>
  <pageMargins left="0.5" right="0.5" top="0.25" bottom="0.25" header="0.3" footer="0.3"/>
  <pageSetup scale="68" orientation="landscape" r:id="rId1"/>
  <headerFooter>
    <oddFooter>&amp;L&amp;8&amp;D&amp;C&amp;8&amp;P&amp;R&amp;8&amp;A</oddFooter>
  </headerFooter>
  <ignoredErrors>
    <ignoredError sqref="H18 I18 K18" formula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3F194-11A9-4D03-9E8F-89ABF1B25B7F}">
  <sheetPr>
    <tabColor theme="9"/>
    <pageSetUpPr fitToPage="1"/>
  </sheetPr>
  <dimension ref="A1:E22"/>
  <sheetViews>
    <sheetView workbookViewId="0"/>
  </sheetViews>
  <sheetFormatPr defaultColWidth="8.85546875" defaultRowHeight="15" x14ac:dyDescent="0.25"/>
  <cols>
    <col min="1" max="1" width="29.28515625" style="2" customWidth="1"/>
    <col min="2" max="3" width="12.28515625" style="1" customWidth="1"/>
    <col min="4" max="4" width="13.42578125" style="1" customWidth="1"/>
    <col min="5" max="5" width="13.7109375" style="1" customWidth="1"/>
    <col min="6" max="17" width="14" style="2" customWidth="1"/>
    <col min="18" max="16384" width="8.85546875" style="2"/>
  </cols>
  <sheetData>
    <row r="1" spans="1:5" ht="25.9" customHeight="1" x14ac:dyDescent="0.4">
      <c r="A1" s="3"/>
      <c r="E1" s="26"/>
    </row>
    <row r="2" spans="1:5" ht="25.9" customHeight="1" x14ac:dyDescent="0.3">
      <c r="A2" s="3"/>
    </row>
    <row r="3" spans="1:5" ht="18.75" customHeight="1" x14ac:dyDescent="0.3">
      <c r="A3" s="3" t="s">
        <v>384</v>
      </c>
      <c r="E3" s="6" t="str">
        <f>+'Attachment A - Base'!K3</f>
        <v>BPA #26-01</v>
      </c>
    </row>
    <row r="4" spans="1:5" ht="20.100000000000001" customHeight="1" x14ac:dyDescent="0.25">
      <c r="A4" s="17">
        <f>+'Attachment A - Base'!A4</f>
        <v>46240</v>
      </c>
    </row>
    <row r="5" spans="1:5" x14ac:dyDescent="0.25">
      <c r="B5" s="71"/>
      <c r="C5" s="71"/>
      <c r="D5" s="71"/>
      <c r="E5" s="71"/>
    </row>
    <row r="6" spans="1:5" x14ac:dyDescent="0.25">
      <c r="D6" s="1">
        <v>-1</v>
      </c>
      <c r="E6" s="19"/>
    </row>
    <row r="7" spans="1:5" ht="60.75" thickBot="1" x14ac:dyDescent="0.3">
      <c r="A7" s="4"/>
      <c r="B7" s="5" t="s">
        <v>385</v>
      </c>
      <c r="C7" s="5" t="s">
        <v>386</v>
      </c>
      <c r="D7" s="5" t="s">
        <v>387</v>
      </c>
      <c r="E7" s="20" t="s">
        <v>363</v>
      </c>
    </row>
    <row r="8" spans="1:5" ht="19.149999999999999" customHeight="1" x14ac:dyDescent="0.25">
      <c r="A8" s="14"/>
      <c r="B8" s="16"/>
      <c r="C8" s="16"/>
      <c r="D8" s="16"/>
      <c r="E8" s="21"/>
    </row>
    <row r="9" spans="1:5" ht="19.149999999999999" customHeight="1" x14ac:dyDescent="0.25">
      <c r="A9" s="2" t="s">
        <v>9</v>
      </c>
      <c r="B9" s="7"/>
      <c r="C9" s="7"/>
      <c r="D9" s="7"/>
      <c r="E9" s="22">
        <f t="shared" ref="E9:E13" si="0">SUM(B9:D9)</f>
        <v>0</v>
      </c>
    </row>
    <row r="10" spans="1:5" ht="19.149999999999999" customHeight="1" x14ac:dyDescent="0.25">
      <c r="A10" s="2" t="s">
        <v>10</v>
      </c>
      <c r="B10" s="7">
        <v>118837</v>
      </c>
      <c r="C10" s="7">
        <v>4337</v>
      </c>
      <c r="D10" s="7">
        <v>345217</v>
      </c>
      <c r="E10" s="22">
        <f t="shared" si="0"/>
        <v>468391</v>
      </c>
    </row>
    <row r="11" spans="1:5" ht="19.149999999999999" customHeight="1" x14ac:dyDescent="0.25">
      <c r="A11" s="2" t="s">
        <v>11</v>
      </c>
      <c r="B11" s="7"/>
      <c r="C11" s="7"/>
      <c r="D11" s="7"/>
      <c r="E11" s="22">
        <f t="shared" si="0"/>
        <v>0</v>
      </c>
    </row>
    <row r="12" spans="1:5" ht="19.149999999999999" customHeight="1" x14ac:dyDescent="0.25">
      <c r="A12" s="2" t="s">
        <v>12</v>
      </c>
      <c r="B12" s="7">
        <f>+-27026+27026</f>
        <v>0</v>
      </c>
      <c r="C12" s="7"/>
      <c r="D12" s="7">
        <f>463046-27026</f>
        <v>436020</v>
      </c>
      <c r="E12" s="22">
        <f t="shared" si="0"/>
        <v>436020</v>
      </c>
    </row>
    <row r="13" spans="1:5" ht="19.149999999999999" customHeight="1" x14ac:dyDescent="0.25">
      <c r="A13" s="2" t="s">
        <v>13</v>
      </c>
      <c r="B13" s="7"/>
      <c r="C13" s="7"/>
      <c r="D13" s="7"/>
      <c r="E13" s="22">
        <f t="shared" si="0"/>
        <v>0</v>
      </c>
    </row>
    <row r="14" spans="1:5" ht="19.149999999999999" customHeight="1" x14ac:dyDescent="0.25">
      <c r="A14" s="2" t="s">
        <v>14</v>
      </c>
      <c r="B14" s="7"/>
      <c r="C14" s="7"/>
      <c r="D14" s="7"/>
      <c r="E14" s="22">
        <f>SUM(B14:D14)</f>
        <v>0</v>
      </c>
    </row>
    <row r="15" spans="1:5" ht="19.149999999999999" customHeight="1" x14ac:dyDescent="0.25">
      <c r="A15" s="2" t="s">
        <v>507</v>
      </c>
      <c r="B15" s="7"/>
      <c r="C15" s="7"/>
      <c r="D15" s="7"/>
      <c r="E15" s="22">
        <f>SUM(B15:D15)</f>
        <v>0</v>
      </c>
    </row>
    <row r="16" spans="1:5" ht="19.149999999999999" customHeight="1" x14ac:dyDescent="0.25">
      <c r="A16" s="2" t="s">
        <v>508</v>
      </c>
      <c r="B16" s="7"/>
      <c r="C16" s="7"/>
      <c r="D16" s="7"/>
      <c r="E16" s="22">
        <f>SUM(B16:D16)</f>
        <v>0</v>
      </c>
    </row>
    <row r="17" spans="1:5" ht="19.149999999999999" customHeight="1" x14ac:dyDescent="0.25">
      <c r="A17" s="9" t="s">
        <v>15</v>
      </c>
      <c r="B17" s="8">
        <f>SUM(B9:B16)</f>
        <v>118837</v>
      </c>
      <c r="C17" s="8">
        <f>SUM(C9:C16)</f>
        <v>4337</v>
      </c>
      <c r="D17" s="8">
        <f>SUM(D9:D16)</f>
        <v>781237</v>
      </c>
      <c r="E17" s="23">
        <f>SUM(E9:E16)</f>
        <v>904411</v>
      </c>
    </row>
    <row r="18" spans="1:5" ht="19.149999999999999" customHeight="1" x14ac:dyDescent="0.25">
      <c r="A18" s="2" t="s">
        <v>224</v>
      </c>
      <c r="B18" s="18"/>
      <c r="C18" s="18"/>
      <c r="D18" s="18">
        <f>53000+450766</f>
        <v>503766</v>
      </c>
      <c r="E18" s="22">
        <f>SUM(B18:D18)</f>
        <v>503766</v>
      </c>
    </row>
    <row r="19" spans="1:5" ht="19.149999999999999" customHeight="1" x14ac:dyDescent="0.25">
      <c r="A19" s="2" t="s">
        <v>17</v>
      </c>
      <c r="B19" s="7"/>
      <c r="C19" s="7"/>
      <c r="D19" s="7">
        <f>632221+45268</f>
        <v>677489</v>
      </c>
      <c r="E19" s="22">
        <f>SUM(B19:D19)</f>
        <v>677489</v>
      </c>
    </row>
    <row r="20" spans="1:5" ht="15" customHeight="1" thickBot="1" x14ac:dyDescent="0.3">
      <c r="A20" s="10" t="s">
        <v>18</v>
      </c>
      <c r="B20" s="11">
        <f>SUM(B17:B19)</f>
        <v>118837</v>
      </c>
      <c r="C20" s="11">
        <f>SUM(C17:C19)</f>
        <v>4337</v>
      </c>
      <c r="D20" s="11">
        <f>SUM(D17:D19)</f>
        <v>1962492</v>
      </c>
      <c r="E20" s="24">
        <f t="shared" ref="E20" si="1">SUM(E17:E19)</f>
        <v>2085666</v>
      </c>
    </row>
    <row r="21" spans="1:5" ht="15" customHeight="1" x14ac:dyDescent="0.25">
      <c r="A21" s="65" t="s">
        <v>491</v>
      </c>
      <c r="B21" s="12"/>
      <c r="C21" s="12"/>
      <c r="D21" s="12"/>
      <c r="E21" s="13"/>
    </row>
    <row r="22" spans="1:5" x14ac:dyDescent="0.25">
      <c r="A22" s="2" t="s">
        <v>506</v>
      </c>
    </row>
  </sheetData>
  <pageMargins left="0.75" right="0.75" top="0.5" bottom="0.5" header="0.3" footer="0.3"/>
  <pageSetup orientation="landscape" r:id="rId1"/>
  <headerFooter>
    <oddFooter>&amp;L&amp;8&amp;D&amp;C&amp;8&amp;P&amp;R&amp;8&amp;A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880CC-44F6-42D2-AA60-9506A8FCD92F}">
  <sheetPr>
    <tabColor rgb="FFFFC000"/>
    <pageSetUpPr fitToPage="1"/>
  </sheetPr>
  <dimension ref="A1:M114"/>
  <sheetViews>
    <sheetView workbookViewId="0"/>
  </sheetViews>
  <sheetFormatPr defaultColWidth="8.85546875" defaultRowHeight="15" x14ac:dyDescent="0.25"/>
  <cols>
    <col min="1" max="1" width="19.140625" style="2" bestFit="1" customWidth="1"/>
    <col min="2" max="10" width="12.7109375" style="1" customWidth="1"/>
    <col min="11" max="11" width="12.7109375" style="2" customWidth="1"/>
    <col min="12" max="12" width="6.85546875" style="2" customWidth="1"/>
    <col min="13" max="13" width="33.7109375" style="63" bestFit="1" customWidth="1"/>
    <col min="14" max="14" width="34.7109375" style="2" bestFit="1" customWidth="1"/>
    <col min="15" max="15" width="32.28515625" style="2" bestFit="1" customWidth="1"/>
    <col min="16" max="16" width="14" style="2" customWidth="1"/>
    <col min="17" max="17" width="7.28515625" style="2" bestFit="1" customWidth="1"/>
    <col min="18" max="18" width="7.5703125" style="2" bestFit="1" customWidth="1"/>
    <col min="19" max="19" width="6.7109375" style="2" bestFit="1" customWidth="1"/>
    <col min="20" max="24" width="14" style="2" customWidth="1"/>
    <col min="25" max="16384" width="8.85546875" style="2"/>
  </cols>
  <sheetData>
    <row r="1" spans="1:13" ht="25.9" customHeight="1" x14ac:dyDescent="0.4">
      <c r="A1" s="3"/>
      <c r="J1" s="26"/>
    </row>
    <row r="2" spans="1:13" ht="25.9" customHeight="1" x14ac:dyDescent="0.3">
      <c r="A2" s="3"/>
    </row>
    <row r="3" spans="1:13" ht="18.75" customHeight="1" x14ac:dyDescent="0.3">
      <c r="A3" s="3" t="s">
        <v>378</v>
      </c>
      <c r="K3" s="6" t="str">
        <f>+'Attachment A - Base'!K3</f>
        <v>BPA #26-01</v>
      </c>
    </row>
    <row r="4" spans="1:13" ht="20.100000000000001" customHeight="1" x14ac:dyDescent="0.25">
      <c r="A4" s="17">
        <f>+'Attachment A - Base'!A4</f>
        <v>46240</v>
      </c>
    </row>
    <row r="5" spans="1:13" x14ac:dyDescent="0.25">
      <c r="B5" s="157"/>
      <c r="C5" s="157"/>
      <c r="D5" s="157"/>
      <c r="E5" s="157"/>
      <c r="F5" s="157"/>
      <c r="G5" s="157"/>
      <c r="H5" s="157"/>
      <c r="I5" s="157"/>
      <c r="J5" s="157"/>
    </row>
    <row r="6" spans="1:13" x14ac:dyDescent="0.25">
      <c r="F6" s="19"/>
      <c r="G6" s="2"/>
      <c r="H6" s="63"/>
      <c r="I6" s="2"/>
      <c r="J6" s="2"/>
      <c r="M6" s="2"/>
    </row>
    <row r="7" spans="1:13" ht="58.15" customHeight="1" thickBot="1" x14ac:dyDescent="0.3">
      <c r="A7" s="4"/>
      <c r="B7" s="5" t="s">
        <v>225</v>
      </c>
      <c r="C7" s="5" t="s">
        <v>227</v>
      </c>
      <c r="D7" s="5" t="s">
        <v>228</v>
      </c>
      <c r="E7" s="5" t="s">
        <v>230</v>
      </c>
      <c r="F7" s="20" t="s">
        <v>379</v>
      </c>
      <c r="G7" s="2"/>
      <c r="H7" s="63"/>
      <c r="I7" s="2"/>
      <c r="J7" s="2"/>
      <c r="M7" s="2"/>
    </row>
    <row r="8" spans="1:13" ht="19.149999999999999" customHeight="1" x14ac:dyDescent="0.25">
      <c r="A8" s="14"/>
      <c r="B8" s="16"/>
      <c r="C8" s="16"/>
      <c r="D8" s="16"/>
      <c r="E8" s="16"/>
      <c r="F8" s="21"/>
      <c r="G8" s="2"/>
      <c r="H8" s="63"/>
      <c r="I8" s="2"/>
      <c r="J8" s="2"/>
      <c r="M8" s="2"/>
    </row>
    <row r="9" spans="1:13" ht="19.149999999999999" customHeight="1" x14ac:dyDescent="0.25">
      <c r="A9" s="2" t="s">
        <v>9</v>
      </c>
      <c r="B9" s="25">
        <f>B99</f>
        <v>148345</v>
      </c>
      <c r="C9" s="25">
        <f t="shared" ref="C9:E9" si="0">C99</f>
        <v>0</v>
      </c>
      <c r="D9" s="25">
        <f t="shared" si="0"/>
        <v>0</v>
      </c>
      <c r="E9" s="25">
        <f t="shared" si="0"/>
        <v>0</v>
      </c>
      <c r="F9" s="22">
        <f t="shared" ref="F9:F16" si="1">SUM(B9:E9)</f>
        <v>148345</v>
      </c>
      <c r="G9" s="2"/>
      <c r="H9" s="63"/>
      <c r="I9" s="2"/>
      <c r="J9" s="2"/>
      <c r="M9" s="2"/>
    </row>
    <row r="10" spans="1:13" ht="19.149999999999999" customHeight="1" x14ac:dyDescent="0.25">
      <c r="A10" s="2" t="s">
        <v>10</v>
      </c>
      <c r="B10" s="25">
        <f t="shared" ref="B10:B16" si="2">B100</f>
        <v>3778023</v>
      </c>
      <c r="C10" s="25">
        <f t="shared" ref="C10:E10" si="3">C100</f>
        <v>0</v>
      </c>
      <c r="D10" s="25">
        <f t="shared" si="3"/>
        <v>5284</v>
      </c>
      <c r="E10" s="25">
        <f t="shared" si="3"/>
        <v>0</v>
      </c>
      <c r="F10" s="22">
        <f t="shared" si="1"/>
        <v>3783307</v>
      </c>
      <c r="G10" s="2"/>
      <c r="H10" s="63"/>
      <c r="I10" s="2"/>
      <c r="J10" s="2"/>
      <c r="M10" s="2"/>
    </row>
    <row r="11" spans="1:13" ht="19.149999999999999" customHeight="1" x14ac:dyDescent="0.25">
      <c r="A11" s="2" t="s">
        <v>11</v>
      </c>
      <c r="B11" s="25">
        <f t="shared" si="2"/>
        <v>9538594</v>
      </c>
      <c r="C11" s="25">
        <f t="shared" ref="C11:E11" si="4">C101</f>
        <v>0</v>
      </c>
      <c r="D11" s="25">
        <f t="shared" si="4"/>
        <v>0</v>
      </c>
      <c r="E11" s="25">
        <f t="shared" si="4"/>
        <v>471382</v>
      </c>
      <c r="F11" s="22">
        <f t="shared" si="1"/>
        <v>10009976</v>
      </c>
      <c r="G11" s="2"/>
      <c r="H11" s="63"/>
      <c r="I11" s="2"/>
      <c r="J11" s="2"/>
      <c r="M11" s="2"/>
    </row>
    <row r="12" spans="1:13" ht="19.149999999999999" customHeight="1" x14ac:dyDescent="0.25">
      <c r="A12" s="2" t="s">
        <v>12</v>
      </c>
      <c r="B12" s="25">
        <f t="shared" si="2"/>
        <v>5276500</v>
      </c>
      <c r="C12" s="25">
        <f t="shared" ref="C12:E12" si="5">C102</f>
        <v>0</v>
      </c>
      <c r="D12" s="25">
        <f t="shared" si="5"/>
        <v>0</v>
      </c>
      <c r="E12" s="25">
        <f t="shared" si="5"/>
        <v>0</v>
      </c>
      <c r="F12" s="22">
        <f t="shared" si="1"/>
        <v>5276500</v>
      </c>
      <c r="G12" s="2"/>
      <c r="H12" s="63"/>
      <c r="I12" s="2"/>
      <c r="J12" s="2"/>
      <c r="M12" s="2"/>
    </row>
    <row r="13" spans="1:13" ht="19.149999999999999" customHeight="1" x14ac:dyDescent="0.25">
      <c r="A13" s="2" t="s">
        <v>13</v>
      </c>
      <c r="B13" s="25">
        <f t="shared" si="2"/>
        <v>743560</v>
      </c>
      <c r="C13" s="25">
        <f t="shared" ref="C13:E13" si="6">C103</f>
        <v>0</v>
      </c>
      <c r="D13" s="25">
        <f t="shared" si="6"/>
        <v>0</v>
      </c>
      <c r="E13" s="25">
        <f t="shared" si="6"/>
        <v>0</v>
      </c>
      <c r="F13" s="22">
        <f t="shared" si="1"/>
        <v>743560</v>
      </c>
      <c r="G13" s="2"/>
      <c r="H13" s="63"/>
      <c r="I13" s="2"/>
      <c r="J13" s="2"/>
      <c r="M13" s="2"/>
    </row>
    <row r="14" spans="1:13" ht="19.149999999999999" customHeight="1" x14ac:dyDescent="0.25">
      <c r="A14" s="2" t="s">
        <v>14</v>
      </c>
      <c r="B14" s="25">
        <f t="shared" si="2"/>
        <v>990861</v>
      </c>
      <c r="C14" s="25">
        <f t="shared" ref="C14:E14" si="7">C104</f>
        <v>205578</v>
      </c>
      <c r="D14" s="25">
        <f t="shared" si="7"/>
        <v>0</v>
      </c>
      <c r="E14" s="25">
        <f t="shared" si="7"/>
        <v>0</v>
      </c>
      <c r="F14" s="22">
        <f t="shared" si="1"/>
        <v>1196439</v>
      </c>
      <c r="G14" s="2"/>
      <c r="H14" s="63"/>
      <c r="I14" s="2"/>
      <c r="J14" s="2"/>
      <c r="M14" s="2"/>
    </row>
    <row r="15" spans="1:13" ht="19.149999999999999" customHeight="1" x14ac:dyDescent="0.25">
      <c r="A15" s="2" t="s">
        <v>507</v>
      </c>
      <c r="B15" s="25">
        <f t="shared" si="2"/>
        <v>300000</v>
      </c>
      <c r="C15" s="25">
        <f t="shared" ref="C15:E15" si="8">C105</f>
        <v>0</v>
      </c>
      <c r="D15" s="25">
        <f t="shared" si="8"/>
        <v>0</v>
      </c>
      <c r="E15" s="25">
        <f t="shared" si="8"/>
        <v>0</v>
      </c>
      <c r="F15" s="22">
        <f t="shared" si="1"/>
        <v>300000</v>
      </c>
      <c r="G15" s="2"/>
      <c r="H15" s="63"/>
      <c r="I15" s="2"/>
      <c r="J15" s="2"/>
      <c r="M15" s="2"/>
    </row>
    <row r="16" spans="1:13" ht="19.149999999999999" customHeight="1" x14ac:dyDescent="0.25">
      <c r="A16" s="2" t="s">
        <v>508</v>
      </c>
      <c r="B16" s="25">
        <f t="shared" si="2"/>
        <v>549758</v>
      </c>
      <c r="C16" s="25">
        <f t="shared" ref="C16:E16" si="9">C106</f>
        <v>0</v>
      </c>
      <c r="D16" s="25">
        <f t="shared" si="9"/>
        <v>0</v>
      </c>
      <c r="E16" s="25">
        <f t="shared" si="9"/>
        <v>0</v>
      </c>
      <c r="F16" s="22">
        <f t="shared" si="1"/>
        <v>549758</v>
      </c>
      <c r="G16" s="2"/>
      <c r="H16" s="63"/>
      <c r="I16" s="2"/>
      <c r="J16" s="2"/>
      <c r="M16" s="2"/>
    </row>
    <row r="17" spans="1:13" ht="19.149999999999999" customHeight="1" x14ac:dyDescent="0.25">
      <c r="A17" s="9" t="s">
        <v>15</v>
      </c>
      <c r="B17" s="8">
        <f t="shared" ref="B17:F17" si="10">SUM(B9:B16)</f>
        <v>21325641</v>
      </c>
      <c r="C17" s="8">
        <f t="shared" si="10"/>
        <v>205578</v>
      </c>
      <c r="D17" s="8">
        <f t="shared" si="10"/>
        <v>5284</v>
      </c>
      <c r="E17" s="8">
        <f t="shared" si="10"/>
        <v>471382</v>
      </c>
      <c r="F17" s="23">
        <f t="shared" si="10"/>
        <v>22007885</v>
      </c>
      <c r="G17" s="2"/>
      <c r="H17" s="104"/>
      <c r="I17" s="2"/>
      <c r="J17" s="2"/>
      <c r="M17" s="2"/>
    </row>
    <row r="18" spans="1:13" ht="19.149999999999999" customHeight="1" x14ac:dyDescent="0.25">
      <c r="A18" s="2" t="s">
        <v>16</v>
      </c>
      <c r="B18" s="136"/>
      <c r="C18" s="136"/>
      <c r="D18" s="136"/>
      <c r="E18" s="136"/>
      <c r="F18" s="22">
        <f>SUM(B18:E18)</f>
        <v>0</v>
      </c>
      <c r="G18" s="2"/>
      <c r="H18" s="63"/>
      <c r="I18" s="2"/>
      <c r="J18" s="2"/>
      <c r="M18" s="2"/>
    </row>
    <row r="19" spans="1:13" ht="19.149999999999999" customHeight="1" x14ac:dyDescent="0.25">
      <c r="A19" s="2" t="s">
        <v>17</v>
      </c>
      <c r="B19" s="25">
        <v>0</v>
      </c>
      <c r="C19" s="25">
        <v>0</v>
      </c>
      <c r="D19" s="25">
        <v>0</v>
      </c>
      <c r="E19" s="25">
        <v>0</v>
      </c>
      <c r="F19" s="22">
        <f>SUM(B19:E19)</f>
        <v>0</v>
      </c>
      <c r="G19" s="2"/>
      <c r="H19" s="63"/>
      <c r="I19" s="2"/>
      <c r="J19" s="2"/>
      <c r="M19" s="2"/>
    </row>
    <row r="20" spans="1:13" ht="15" customHeight="1" thickBot="1" x14ac:dyDescent="0.3">
      <c r="A20" s="10" t="s">
        <v>18</v>
      </c>
      <c r="B20" s="11">
        <f t="shared" ref="B20:F20" si="11">SUM(B17:B19)</f>
        <v>21325641</v>
      </c>
      <c r="C20" s="11">
        <f t="shared" si="11"/>
        <v>205578</v>
      </c>
      <c r="D20" s="11">
        <f t="shared" si="11"/>
        <v>5284</v>
      </c>
      <c r="E20" s="11">
        <f t="shared" si="11"/>
        <v>471382</v>
      </c>
      <c r="F20" s="24">
        <f t="shared" si="11"/>
        <v>22007885</v>
      </c>
      <c r="G20" s="2"/>
      <c r="H20" s="63"/>
      <c r="I20" s="2"/>
      <c r="J20" s="2"/>
      <c r="M20" s="2"/>
    </row>
    <row r="21" spans="1:13" ht="15" customHeight="1" x14ac:dyDescent="0.25">
      <c r="A21" s="65" t="s">
        <v>409</v>
      </c>
      <c r="B21" s="95"/>
      <c r="C21" s="95"/>
      <c r="D21" s="95"/>
      <c r="E21" s="95"/>
      <c r="F21" s="95"/>
      <c r="G21" s="95"/>
      <c r="H21" s="95"/>
      <c r="I21" s="95"/>
      <c r="J21" s="95"/>
    </row>
    <row r="22" spans="1:13" ht="15" customHeight="1" x14ac:dyDescent="0.25">
      <c r="A22" s="65" t="s">
        <v>233</v>
      </c>
      <c r="B22" s="18"/>
      <c r="C22" s="13"/>
      <c r="D22" s="13"/>
      <c r="E22" s="13"/>
      <c r="F22" s="13"/>
      <c r="G22" s="13"/>
      <c r="H22" s="13"/>
      <c r="I22" s="13"/>
      <c r="J22" s="13"/>
    </row>
    <row r="23" spans="1:13" ht="15" customHeight="1" x14ac:dyDescent="0.25">
      <c r="A23" s="12" t="s">
        <v>234</v>
      </c>
      <c r="B23" s="18"/>
      <c r="C23" s="13"/>
      <c r="D23" s="13"/>
      <c r="E23" s="13"/>
      <c r="F23" s="13"/>
      <c r="G23" s="13"/>
      <c r="H23" s="13"/>
      <c r="I23" s="13"/>
      <c r="J23" s="13"/>
    </row>
    <row r="24" spans="1:13" ht="15" customHeight="1" x14ac:dyDescent="0.25">
      <c r="A24" s="65"/>
      <c r="B24" s="18"/>
      <c r="C24" s="13"/>
      <c r="D24" s="13"/>
      <c r="E24" s="13"/>
      <c r="F24" s="13"/>
      <c r="G24" s="13"/>
      <c r="H24" s="13"/>
      <c r="I24" s="13"/>
      <c r="J24" s="13"/>
    </row>
    <row r="25" spans="1:13" ht="15" customHeight="1" x14ac:dyDescent="0.25">
      <c r="A25" s="91" t="s">
        <v>204</v>
      </c>
      <c r="B25" s="92" t="s">
        <v>203</v>
      </c>
      <c r="C25" s="91" t="s">
        <v>205</v>
      </c>
      <c r="D25" s="91" t="s">
        <v>235</v>
      </c>
      <c r="E25" s="91" t="s">
        <v>236</v>
      </c>
      <c r="F25" s="13"/>
      <c r="G25" s="13"/>
      <c r="H25" s="110"/>
      <c r="I25" s="13"/>
      <c r="J25" s="13"/>
    </row>
    <row r="26" spans="1:13" ht="15" customHeight="1" x14ac:dyDescent="0.25">
      <c r="A26" s="2" t="s">
        <v>237</v>
      </c>
      <c r="B26" s="63" t="s">
        <v>238</v>
      </c>
      <c r="C26" s="1" t="s">
        <v>239</v>
      </c>
      <c r="D26" s="63" t="s">
        <v>394</v>
      </c>
      <c r="E26" s="93">
        <v>200000</v>
      </c>
      <c r="F26" s="89"/>
      <c r="K26" s="1"/>
      <c r="L26" s="1"/>
    </row>
    <row r="27" spans="1:13" ht="15" customHeight="1" x14ac:dyDescent="0.25">
      <c r="A27" s="2" t="s">
        <v>237</v>
      </c>
      <c r="B27" s="63" t="s">
        <v>238</v>
      </c>
      <c r="C27" s="1" t="s">
        <v>240</v>
      </c>
      <c r="D27" s="63" t="s">
        <v>394</v>
      </c>
      <c r="E27" s="93">
        <v>3050557</v>
      </c>
      <c r="F27" s="89"/>
      <c r="K27" s="1"/>
      <c r="L27" s="1"/>
    </row>
    <row r="28" spans="1:13" ht="15" customHeight="1" x14ac:dyDescent="0.25">
      <c r="A28" s="2" t="s">
        <v>237</v>
      </c>
      <c r="B28" s="63" t="s">
        <v>238</v>
      </c>
      <c r="C28" s="1" t="s">
        <v>407</v>
      </c>
      <c r="D28" s="63" t="s">
        <v>394</v>
      </c>
      <c r="E28" s="93">
        <v>52986</v>
      </c>
      <c r="F28" s="89"/>
      <c r="K28" s="1"/>
      <c r="L28" s="1"/>
    </row>
    <row r="29" spans="1:13" ht="15" customHeight="1" x14ac:dyDescent="0.25">
      <c r="A29" t="s">
        <v>237</v>
      </c>
      <c r="B29" s="75" t="s">
        <v>238</v>
      </c>
      <c r="C29" s="137" t="s">
        <v>241</v>
      </c>
      <c r="D29" s="75" t="s">
        <v>301</v>
      </c>
      <c r="E29" s="25">
        <v>16530</v>
      </c>
      <c r="F29" s="90"/>
      <c r="K29" s="1"/>
      <c r="L29" s="1"/>
    </row>
    <row r="30" spans="1:13" ht="15" customHeight="1" x14ac:dyDescent="0.25">
      <c r="A30" s="2" t="s">
        <v>237</v>
      </c>
      <c r="B30" s="63" t="s">
        <v>238</v>
      </c>
      <c r="C30" s="1" t="s">
        <v>291</v>
      </c>
      <c r="D30" s="63" t="s">
        <v>394</v>
      </c>
      <c r="E30" s="67">
        <v>60000</v>
      </c>
      <c r="F30" s="90"/>
      <c r="K30" s="1"/>
      <c r="L30" s="1"/>
    </row>
    <row r="31" spans="1:13" ht="15" customHeight="1" x14ac:dyDescent="0.25">
      <c r="A31" s="65" t="s">
        <v>237</v>
      </c>
      <c r="B31" s="63" t="s">
        <v>238</v>
      </c>
      <c r="C31" s="1" t="s">
        <v>292</v>
      </c>
      <c r="D31" s="63" t="s">
        <v>394</v>
      </c>
      <c r="E31" s="93">
        <v>55000</v>
      </c>
      <c r="F31" s="90"/>
      <c r="K31" s="1"/>
      <c r="L31" s="1"/>
    </row>
    <row r="32" spans="1:13" ht="15" customHeight="1" x14ac:dyDescent="0.25">
      <c r="A32" s="65" t="s">
        <v>237</v>
      </c>
      <c r="B32" s="63" t="s">
        <v>238</v>
      </c>
      <c r="C32" s="1" t="s">
        <v>242</v>
      </c>
      <c r="D32" s="63" t="s">
        <v>405</v>
      </c>
      <c r="E32" s="93">
        <v>177518</v>
      </c>
      <c r="F32" s="90"/>
      <c r="K32" s="1"/>
      <c r="L32" s="1"/>
    </row>
    <row r="33" spans="1:12" ht="15" customHeight="1" x14ac:dyDescent="0.25">
      <c r="A33" s="65" t="s">
        <v>237</v>
      </c>
      <c r="B33" s="63" t="s">
        <v>238</v>
      </c>
      <c r="C33" s="1" t="s">
        <v>243</v>
      </c>
      <c r="D33" s="63" t="s">
        <v>394</v>
      </c>
      <c r="E33" s="93">
        <v>4000</v>
      </c>
      <c r="F33" s="89"/>
      <c r="K33" s="1"/>
      <c r="L33" s="1"/>
    </row>
    <row r="34" spans="1:12" ht="15" customHeight="1" x14ac:dyDescent="0.25">
      <c r="A34" s="65" t="s">
        <v>237</v>
      </c>
      <c r="B34" s="63" t="s">
        <v>238</v>
      </c>
      <c r="C34" s="1" t="s">
        <v>243</v>
      </c>
      <c r="D34" s="63" t="s">
        <v>406</v>
      </c>
      <c r="E34" s="93">
        <v>9752</v>
      </c>
      <c r="F34" s="89"/>
      <c r="K34" s="1"/>
      <c r="L34" s="1"/>
    </row>
    <row r="35" spans="1:12" x14ac:dyDescent="0.25">
      <c r="A35" s="65" t="s">
        <v>237</v>
      </c>
      <c r="B35" s="63" t="s">
        <v>238</v>
      </c>
      <c r="C35" s="1" t="s">
        <v>408</v>
      </c>
      <c r="D35" s="63" t="s">
        <v>394</v>
      </c>
      <c r="E35" s="93">
        <v>151680</v>
      </c>
      <c r="K35" s="1"/>
      <c r="L35" s="1"/>
    </row>
    <row r="36" spans="1:12" ht="15" customHeight="1" x14ac:dyDescent="0.25">
      <c r="A36" s="2" t="s">
        <v>237</v>
      </c>
      <c r="B36" s="63" t="s">
        <v>245</v>
      </c>
      <c r="C36" s="1" t="s">
        <v>246</v>
      </c>
      <c r="D36" s="63" t="s">
        <v>394</v>
      </c>
      <c r="E36" s="67">
        <v>500000</v>
      </c>
      <c r="F36" s="89"/>
      <c r="K36" s="1"/>
      <c r="L36" s="1"/>
    </row>
    <row r="37" spans="1:12" ht="15" customHeight="1" x14ac:dyDescent="0.25">
      <c r="A37" s="2" t="s">
        <v>237</v>
      </c>
      <c r="B37" s="63" t="s">
        <v>245</v>
      </c>
      <c r="C37" s="1" t="s">
        <v>247</v>
      </c>
      <c r="D37" s="63" t="s">
        <v>394</v>
      </c>
      <c r="E37" s="67">
        <v>1534580</v>
      </c>
      <c r="F37" s="89"/>
      <c r="K37" s="1"/>
      <c r="L37" s="1"/>
    </row>
    <row r="38" spans="1:12" x14ac:dyDescent="0.25">
      <c r="A38" s="65" t="s">
        <v>237</v>
      </c>
      <c r="B38" s="63" t="s">
        <v>245</v>
      </c>
      <c r="C38" s="1" t="s">
        <v>248</v>
      </c>
      <c r="D38" s="63" t="s">
        <v>394</v>
      </c>
      <c r="E38" s="93">
        <v>681292</v>
      </c>
      <c r="F38" s="89"/>
      <c r="K38" s="1"/>
      <c r="L38" s="1"/>
    </row>
    <row r="39" spans="1:12" x14ac:dyDescent="0.25">
      <c r="A39" s="65" t="s">
        <v>237</v>
      </c>
      <c r="B39" s="63" t="s">
        <v>245</v>
      </c>
      <c r="C39" s="1" t="s">
        <v>249</v>
      </c>
      <c r="D39" s="63" t="s">
        <v>395</v>
      </c>
      <c r="E39" s="93">
        <v>174245</v>
      </c>
      <c r="K39" s="1"/>
      <c r="L39" s="1"/>
    </row>
    <row r="40" spans="1:12" x14ac:dyDescent="0.25">
      <c r="A40" s="65" t="s">
        <v>237</v>
      </c>
      <c r="B40" s="63" t="s">
        <v>245</v>
      </c>
      <c r="C40" s="1" t="s">
        <v>250</v>
      </c>
      <c r="D40" s="63" t="s">
        <v>396</v>
      </c>
      <c r="E40" s="93">
        <v>80336</v>
      </c>
      <c r="K40" s="1"/>
      <c r="L40" s="1"/>
    </row>
    <row r="41" spans="1:12" x14ac:dyDescent="0.25">
      <c r="A41" s="65" t="s">
        <v>237</v>
      </c>
      <c r="B41" s="63" t="s">
        <v>245</v>
      </c>
      <c r="C41" s="1" t="s">
        <v>251</v>
      </c>
      <c r="D41" s="63" t="s">
        <v>394</v>
      </c>
      <c r="E41" s="93">
        <v>99398</v>
      </c>
      <c r="K41" s="1"/>
      <c r="L41" s="1"/>
    </row>
    <row r="42" spans="1:12" x14ac:dyDescent="0.25">
      <c r="A42" s="65" t="s">
        <v>237</v>
      </c>
      <c r="B42" s="63" t="s">
        <v>245</v>
      </c>
      <c r="C42" s="1" t="s">
        <v>252</v>
      </c>
      <c r="D42" s="63" t="s">
        <v>394</v>
      </c>
      <c r="E42" s="93">
        <v>447717</v>
      </c>
      <c r="K42" s="1"/>
      <c r="L42" s="1"/>
    </row>
    <row r="43" spans="1:12" x14ac:dyDescent="0.25">
      <c r="A43" s="65" t="s">
        <v>237</v>
      </c>
      <c r="B43" s="63" t="s">
        <v>245</v>
      </c>
      <c r="C43" s="1" t="s">
        <v>253</v>
      </c>
      <c r="D43" s="63" t="s">
        <v>394</v>
      </c>
      <c r="E43" s="93">
        <v>257189</v>
      </c>
      <c r="K43" s="1"/>
      <c r="L43" s="1"/>
    </row>
    <row r="44" spans="1:12" x14ac:dyDescent="0.25">
      <c r="A44" s="65" t="s">
        <v>237</v>
      </c>
      <c r="B44" s="63" t="s">
        <v>245</v>
      </c>
      <c r="C44" s="1" t="s">
        <v>254</v>
      </c>
      <c r="D44" s="63" t="s">
        <v>394</v>
      </c>
      <c r="E44" s="93">
        <v>20815</v>
      </c>
      <c r="K44" s="1"/>
      <c r="L44" s="1"/>
    </row>
    <row r="45" spans="1:12" x14ac:dyDescent="0.25">
      <c r="A45" s="65" t="s">
        <v>237</v>
      </c>
      <c r="B45" s="63" t="s">
        <v>245</v>
      </c>
      <c r="C45" s="1" t="s">
        <v>255</v>
      </c>
      <c r="D45" s="63" t="s">
        <v>394</v>
      </c>
      <c r="E45" s="93">
        <v>286192</v>
      </c>
      <c r="K45" s="1"/>
      <c r="L45" s="1"/>
    </row>
    <row r="46" spans="1:12" x14ac:dyDescent="0.25">
      <c r="A46" s="65" t="s">
        <v>237</v>
      </c>
      <c r="B46" s="63" t="s">
        <v>245</v>
      </c>
      <c r="C46" s="1" t="s">
        <v>256</v>
      </c>
      <c r="D46" s="63" t="s">
        <v>394</v>
      </c>
      <c r="E46" s="93">
        <v>41801</v>
      </c>
      <c r="K46" s="1"/>
      <c r="L46" s="1"/>
    </row>
    <row r="47" spans="1:12" x14ac:dyDescent="0.25">
      <c r="A47" s="65" t="s">
        <v>237</v>
      </c>
      <c r="B47" s="63" t="s">
        <v>245</v>
      </c>
      <c r="C47" s="1" t="s">
        <v>257</v>
      </c>
      <c r="D47" s="63" t="s">
        <v>394</v>
      </c>
      <c r="E47" s="93">
        <v>125884</v>
      </c>
      <c r="K47" s="1"/>
      <c r="L47" s="1"/>
    </row>
    <row r="48" spans="1:12" x14ac:dyDescent="0.25">
      <c r="A48" s="65" t="s">
        <v>237</v>
      </c>
      <c r="B48" s="63" t="s">
        <v>245</v>
      </c>
      <c r="C48" s="1" t="s">
        <v>258</v>
      </c>
      <c r="D48" s="63" t="s">
        <v>394</v>
      </c>
      <c r="E48" s="93">
        <v>19151</v>
      </c>
      <c r="K48" s="1"/>
      <c r="L48" s="1"/>
    </row>
    <row r="49" spans="1:12" x14ac:dyDescent="0.25">
      <c r="A49" s="65" t="s">
        <v>237</v>
      </c>
      <c r="B49" s="63" t="s">
        <v>245</v>
      </c>
      <c r="C49" s="1" t="s">
        <v>259</v>
      </c>
      <c r="D49" s="63" t="s">
        <v>394</v>
      </c>
      <c r="E49" s="93">
        <v>165956</v>
      </c>
      <c r="K49" s="1"/>
      <c r="L49" s="1"/>
    </row>
    <row r="50" spans="1:12" x14ac:dyDescent="0.25">
      <c r="A50" s="65" t="s">
        <v>237</v>
      </c>
      <c r="B50" s="63" t="s">
        <v>245</v>
      </c>
      <c r="C50" s="1" t="s">
        <v>260</v>
      </c>
      <c r="D50" s="63" t="s">
        <v>394</v>
      </c>
      <c r="E50" s="93">
        <v>1511166</v>
      </c>
      <c r="K50" s="1"/>
      <c r="L50" s="1"/>
    </row>
    <row r="51" spans="1:12" x14ac:dyDescent="0.25">
      <c r="A51" s="65" t="s">
        <v>237</v>
      </c>
      <c r="B51" s="63" t="s">
        <v>245</v>
      </c>
      <c r="C51" s="1" t="s">
        <v>261</v>
      </c>
      <c r="D51" s="63" t="s">
        <v>394</v>
      </c>
      <c r="E51" s="93">
        <v>18831</v>
      </c>
      <c r="K51" s="1"/>
      <c r="L51" s="1"/>
    </row>
    <row r="52" spans="1:12" x14ac:dyDescent="0.25">
      <c r="A52" s="65" t="s">
        <v>237</v>
      </c>
      <c r="B52" s="63" t="s">
        <v>245</v>
      </c>
      <c r="C52" s="1" t="s">
        <v>262</v>
      </c>
      <c r="D52" s="63" t="s">
        <v>394</v>
      </c>
      <c r="E52" s="93">
        <v>314512</v>
      </c>
      <c r="K52" s="1"/>
      <c r="L52" s="1"/>
    </row>
    <row r="53" spans="1:12" x14ac:dyDescent="0.25">
      <c r="A53" s="2" t="s">
        <v>237</v>
      </c>
      <c r="B53" s="63" t="s">
        <v>245</v>
      </c>
      <c r="C53" s="1" t="s">
        <v>263</v>
      </c>
      <c r="D53" s="63" t="s">
        <v>394</v>
      </c>
      <c r="E53" s="93">
        <v>1085000</v>
      </c>
      <c r="K53" s="1"/>
      <c r="L53" s="1"/>
    </row>
    <row r="54" spans="1:12" x14ac:dyDescent="0.25">
      <c r="A54" s="2" t="s">
        <v>237</v>
      </c>
      <c r="B54" s="63" t="s">
        <v>245</v>
      </c>
      <c r="C54" s="1" t="s">
        <v>264</v>
      </c>
      <c r="D54" s="63" t="s">
        <v>394</v>
      </c>
      <c r="E54" s="93">
        <v>217318</v>
      </c>
      <c r="K54" s="1"/>
      <c r="L54" s="1"/>
    </row>
    <row r="55" spans="1:12" x14ac:dyDescent="0.25">
      <c r="A55" s="2" t="s">
        <v>237</v>
      </c>
      <c r="B55" s="63" t="s">
        <v>245</v>
      </c>
      <c r="C55" s="1" t="s">
        <v>299</v>
      </c>
      <c r="D55" s="63" t="s">
        <v>394</v>
      </c>
      <c r="E55" s="93">
        <v>5000</v>
      </c>
      <c r="K55" s="1"/>
      <c r="L55" s="1"/>
    </row>
    <row r="56" spans="1:12" x14ac:dyDescent="0.25">
      <c r="A56" s="2" t="s">
        <v>237</v>
      </c>
      <c r="B56" s="63" t="s">
        <v>245</v>
      </c>
      <c r="C56" s="1" t="s">
        <v>265</v>
      </c>
      <c r="D56" s="63" t="s">
        <v>394</v>
      </c>
      <c r="E56" s="93">
        <v>10607</v>
      </c>
      <c r="K56" s="1"/>
      <c r="L56" s="1"/>
    </row>
    <row r="57" spans="1:12" x14ac:dyDescent="0.25">
      <c r="A57" s="2" t="s">
        <v>237</v>
      </c>
      <c r="B57" s="63" t="s">
        <v>245</v>
      </c>
      <c r="C57" s="1" t="s">
        <v>266</v>
      </c>
      <c r="D57" s="63" t="s">
        <v>394</v>
      </c>
      <c r="E57" s="93">
        <v>942872</v>
      </c>
      <c r="K57" s="1"/>
      <c r="L57" s="1"/>
    </row>
    <row r="58" spans="1:12" x14ac:dyDescent="0.25">
      <c r="A58" s="2" t="s">
        <v>237</v>
      </c>
      <c r="B58" s="63" t="s">
        <v>245</v>
      </c>
      <c r="C58" s="1" t="s">
        <v>267</v>
      </c>
      <c r="D58" s="63" t="s">
        <v>394</v>
      </c>
      <c r="E58" s="93">
        <v>108830</v>
      </c>
      <c r="K58" s="1"/>
      <c r="L58" s="1"/>
    </row>
    <row r="59" spans="1:12" x14ac:dyDescent="0.25">
      <c r="A59" s="2" t="s">
        <v>237</v>
      </c>
      <c r="B59" s="63" t="s">
        <v>245</v>
      </c>
      <c r="C59" s="1" t="s">
        <v>268</v>
      </c>
      <c r="D59" s="63" t="s">
        <v>394</v>
      </c>
      <c r="E59" s="93">
        <v>425456</v>
      </c>
      <c r="K59" s="1"/>
      <c r="L59" s="1"/>
    </row>
    <row r="60" spans="1:12" x14ac:dyDescent="0.25">
      <c r="A60" s="2" t="s">
        <v>237</v>
      </c>
      <c r="B60" s="63" t="s">
        <v>245</v>
      </c>
      <c r="C60" s="1" t="s">
        <v>269</v>
      </c>
      <c r="D60" s="63" t="s">
        <v>394</v>
      </c>
      <c r="E60" s="93">
        <v>31116</v>
      </c>
      <c r="K60" s="1"/>
      <c r="L60" s="1"/>
    </row>
    <row r="61" spans="1:12" x14ac:dyDescent="0.25">
      <c r="A61" s="65" t="s">
        <v>237</v>
      </c>
      <c r="B61" s="63" t="s">
        <v>245</v>
      </c>
      <c r="C61" s="1" t="s">
        <v>270</v>
      </c>
      <c r="D61" s="63" t="s">
        <v>394</v>
      </c>
      <c r="E61" s="93">
        <v>140000</v>
      </c>
      <c r="K61" s="1"/>
      <c r="L61" s="1"/>
    </row>
    <row r="62" spans="1:12" x14ac:dyDescent="0.25">
      <c r="A62" s="65" t="s">
        <v>237</v>
      </c>
      <c r="B62" s="63" t="s">
        <v>245</v>
      </c>
      <c r="C62" s="1" t="s">
        <v>271</v>
      </c>
      <c r="D62" s="63" t="s">
        <v>394</v>
      </c>
      <c r="E62" s="93">
        <v>293330</v>
      </c>
      <c r="K62" s="1"/>
      <c r="L62" s="1"/>
    </row>
    <row r="63" spans="1:12" x14ac:dyDescent="0.25">
      <c r="A63" s="65" t="s">
        <v>237</v>
      </c>
      <c r="B63" s="63" t="s">
        <v>526</v>
      </c>
      <c r="C63" s="1" t="s">
        <v>244</v>
      </c>
      <c r="D63" s="63" t="s">
        <v>394</v>
      </c>
      <c r="E63" s="93">
        <v>300000</v>
      </c>
      <c r="K63" s="1"/>
      <c r="L63" s="1"/>
    </row>
    <row r="64" spans="1:12" x14ac:dyDescent="0.25">
      <c r="A64" s="65" t="s">
        <v>237</v>
      </c>
      <c r="B64" s="63" t="s">
        <v>272</v>
      </c>
      <c r="C64" s="1" t="s">
        <v>273</v>
      </c>
      <c r="D64" s="63" t="s">
        <v>394</v>
      </c>
      <c r="E64" s="93">
        <v>1855000</v>
      </c>
      <c r="K64" s="1"/>
      <c r="L64" s="1"/>
    </row>
    <row r="65" spans="1:12" x14ac:dyDescent="0.25">
      <c r="A65" s="65" t="s">
        <v>237</v>
      </c>
      <c r="B65" s="63" t="s">
        <v>272</v>
      </c>
      <c r="C65" s="1" t="s">
        <v>273</v>
      </c>
      <c r="D65" s="63" t="s">
        <v>400</v>
      </c>
      <c r="E65" s="93">
        <v>37500</v>
      </c>
      <c r="K65" s="1"/>
      <c r="L65" s="1"/>
    </row>
    <row r="66" spans="1:12" x14ac:dyDescent="0.25">
      <c r="A66" s="2" t="s">
        <v>237</v>
      </c>
      <c r="B66" s="63" t="s">
        <v>272</v>
      </c>
      <c r="C66" s="1" t="s">
        <v>273</v>
      </c>
      <c r="D66" s="63" t="s">
        <v>401</v>
      </c>
      <c r="E66" s="67">
        <v>1718000</v>
      </c>
      <c r="K66" s="1"/>
      <c r="L66" s="1"/>
    </row>
    <row r="67" spans="1:12" x14ac:dyDescent="0.25">
      <c r="A67" s="2" t="s">
        <v>237</v>
      </c>
      <c r="B67" s="63" t="s">
        <v>272</v>
      </c>
      <c r="C67" s="1" t="s">
        <v>273</v>
      </c>
      <c r="D67" s="63" t="s">
        <v>402</v>
      </c>
      <c r="E67" s="67">
        <v>75250</v>
      </c>
      <c r="K67" s="1"/>
      <c r="L67" s="1"/>
    </row>
    <row r="68" spans="1:12" x14ac:dyDescent="0.25">
      <c r="A68" s="2" t="s">
        <v>237</v>
      </c>
      <c r="B68" s="63" t="s">
        <v>272</v>
      </c>
      <c r="C68" s="1" t="s">
        <v>273</v>
      </c>
      <c r="D68" s="63" t="s">
        <v>274</v>
      </c>
      <c r="E68" s="67">
        <v>192000</v>
      </c>
      <c r="K68" s="1"/>
      <c r="L68" s="1"/>
    </row>
    <row r="69" spans="1:12" x14ac:dyDescent="0.25">
      <c r="A69" s="65" t="s">
        <v>237</v>
      </c>
      <c r="B69" s="63" t="s">
        <v>272</v>
      </c>
      <c r="C69" s="1" t="s">
        <v>273</v>
      </c>
      <c r="D69" s="63" t="s">
        <v>275</v>
      </c>
      <c r="E69" s="93">
        <v>350000</v>
      </c>
      <c r="K69" s="1"/>
      <c r="L69" s="1"/>
    </row>
    <row r="70" spans="1:12" x14ac:dyDescent="0.25">
      <c r="A70" s="65" t="s">
        <v>237</v>
      </c>
      <c r="B70" s="63" t="s">
        <v>272</v>
      </c>
      <c r="C70" s="1" t="s">
        <v>273</v>
      </c>
      <c r="D70" s="63" t="s">
        <v>276</v>
      </c>
      <c r="E70" s="93">
        <v>33750</v>
      </c>
      <c r="K70" s="1"/>
      <c r="L70" s="1"/>
    </row>
    <row r="71" spans="1:12" x14ac:dyDescent="0.25">
      <c r="A71" s="65" t="s">
        <v>237</v>
      </c>
      <c r="B71" s="63" t="s">
        <v>272</v>
      </c>
      <c r="C71" s="1" t="s">
        <v>273</v>
      </c>
      <c r="D71" s="63" t="s">
        <v>403</v>
      </c>
      <c r="E71" s="93">
        <v>32000</v>
      </c>
      <c r="K71" s="1"/>
      <c r="L71" s="1"/>
    </row>
    <row r="72" spans="1:12" x14ac:dyDescent="0.25">
      <c r="A72" s="2" t="s">
        <v>237</v>
      </c>
      <c r="B72" s="63" t="s">
        <v>272</v>
      </c>
      <c r="C72" s="1" t="s">
        <v>273</v>
      </c>
      <c r="D72" s="63" t="s">
        <v>404</v>
      </c>
      <c r="E72" s="93">
        <v>983000</v>
      </c>
      <c r="K72" s="1"/>
      <c r="L72" s="1"/>
    </row>
    <row r="73" spans="1:12" x14ac:dyDescent="0.25">
      <c r="A73" s="2" t="s">
        <v>237</v>
      </c>
      <c r="B73" s="63" t="s">
        <v>527</v>
      </c>
      <c r="C73" s="1" t="s">
        <v>277</v>
      </c>
      <c r="D73" s="63" t="s">
        <v>394</v>
      </c>
      <c r="E73" s="67">
        <v>202222</v>
      </c>
      <c r="K73" s="1"/>
      <c r="L73" s="1"/>
    </row>
    <row r="74" spans="1:12" x14ac:dyDescent="0.25">
      <c r="A74" s="65" t="s">
        <v>237</v>
      </c>
      <c r="B74" s="63" t="s">
        <v>527</v>
      </c>
      <c r="C74" s="1" t="s">
        <v>278</v>
      </c>
      <c r="D74" s="63" t="s">
        <v>394</v>
      </c>
      <c r="E74" s="93">
        <v>38846</v>
      </c>
      <c r="K74" s="1"/>
      <c r="L74" s="1"/>
    </row>
    <row r="75" spans="1:12" x14ac:dyDescent="0.25">
      <c r="A75" s="65" t="s">
        <v>237</v>
      </c>
      <c r="B75" s="63" t="s">
        <v>527</v>
      </c>
      <c r="C75" s="1" t="s">
        <v>279</v>
      </c>
      <c r="D75" s="63" t="s">
        <v>394</v>
      </c>
      <c r="E75" s="93">
        <v>22061</v>
      </c>
      <c r="K75" s="1"/>
      <c r="L75" s="1"/>
    </row>
    <row r="76" spans="1:12" x14ac:dyDescent="0.25">
      <c r="A76" s="65" t="s">
        <v>237</v>
      </c>
      <c r="B76" s="63" t="s">
        <v>527</v>
      </c>
      <c r="C76" s="1" t="s">
        <v>280</v>
      </c>
      <c r="D76" s="63" t="s">
        <v>394</v>
      </c>
      <c r="E76" s="93">
        <v>98647</v>
      </c>
      <c r="K76" s="1"/>
      <c r="L76" s="1"/>
    </row>
    <row r="77" spans="1:12" x14ac:dyDescent="0.25">
      <c r="A77" s="65" t="s">
        <v>237</v>
      </c>
      <c r="B77" s="63" t="s">
        <v>527</v>
      </c>
      <c r="C77" s="1" t="s">
        <v>281</v>
      </c>
      <c r="D77" s="63" t="s">
        <v>394</v>
      </c>
      <c r="E77" s="93">
        <v>48148</v>
      </c>
      <c r="K77" s="1"/>
      <c r="L77" s="1"/>
    </row>
    <row r="78" spans="1:12" x14ac:dyDescent="0.25">
      <c r="A78" s="65" t="s">
        <v>237</v>
      </c>
      <c r="B78" s="63" t="s">
        <v>527</v>
      </c>
      <c r="C78" s="1" t="s">
        <v>282</v>
      </c>
      <c r="D78" s="63" t="s">
        <v>394</v>
      </c>
      <c r="E78" s="93">
        <v>139834</v>
      </c>
      <c r="K78" s="1"/>
      <c r="L78" s="1"/>
    </row>
    <row r="79" spans="1:12" x14ac:dyDescent="0.25">
      <c r="A79" t="s">
        <v>237</v>
      </c>
      <c r="B79" s="75" t="s">
        <v>283</v>
      </c>
      <c r="C79" s="137" t="s">
        <v>284</v>
      </c>
      <c r="D79" s="75" t="s">
        <v>394</v>
      </c>
      <c r="E79" s="25">
        <v>140000</v>
      </c>
      <c r="K79" s="1"/>
      <c r="L79" s="1"/>
    </row>
    <row r="80" spans="1:12" x14ac:dyDescent="0.25">
      <c r="A80" s="2" t="s">
        <v>237</v>
      </c>
      <c r="B80" s="63" t="s">
        <v>283</v>
      </c>
      <c r="C80" s="1" t="s">
        <v>293</v>
      </c>
      <c r="D80" s="63" t="s">
        <v>394</v>
      </c>
      <c r="E80" s="67">
        <v>8345</v>
      </c>
      <c r="K80" s="1"/>
      <c r="L80" s="1"/>
    </row>
    <row r="81" spans="1:5" x14ac:dyDescent="0.25">
      <c r="A81" t="s">
        <v>237</v>
      </c>
      <c r="B81" s="75" t="s">
        <v>285</v>
      </c>
      <c r="C81" s="137" t="s">
        <v>286</v>
      </c>
      <c r="D81" s="75" t="s">
        <v>394</v>
      </c>
      <c r="E81" s="25">
        <v>585000</v>
      </c>
    </row>
    <row r="82" spans="1:5" x14ac:dyDescent="0.25">
      <c r="A82" s="65" t="s">
        <v>237</v>
      </c>
      <c r="B82" s="63" t="s">
        <v>285</v>
      </c>
      <c r="C82" s="1" t="s">
        <v>287</v>
      </c>
      <c r="D82" s="63" t="s">
        <v>394</v>
      </c>
      <c r="E82" s="93">
        <v>158560</v>
      </c>
    </row>
    <row r="83" spans="1:5" x14ac:dyDescent="0.25">
      <c r="A83" s="65" t="s">
        <v>237</v>
      </c>
      <c r="B83" s="63" t="s">
        <v>288</v>
      </c>
      <c r="C83" s="1" t="s">
        <v>289</v>
      </c>
      <c r="D83" s="63" t="s">
        <v>394</v>
      </c>
      <c r="E83" s="93">
        <v>416274</v>
      </c>
    </row>
    <row r="84" spans="1:5" x14ac:dyDescent="0.25">
      <c r="A84" s="65" t="s">
        <v>237</v>
      </c>
      <c r="B84" s="63" t="s">
        <v>288</v>
      </c>
      <c r="C84" s="1" t="s">
        <v>397</v>
      </c>
      <c r="D84" s="63" t="s">
        <v>394</v>
      </c>
      <c r="E84" s="93">
        <v>141193</v>
      </c>
    </row>
    <row r="85" spans="1:5" x14ac:dyDescent="0.25">
      <c r="A85" s="2" t="s">
        <v>237</v>
      </c>
      <c r="B85" s="63" t="s">
        <v>288</v>
      </c>
      <c r="C85" s="1" t="s">
        <v>294</v>
      </c>
      <c r="D85" s="63" t="s">
        <v>394</v>
      </c>
      <c r="E85" s="67">
        <v>70949</v>
      </c>
    </row>
    <row r="86" spans="1:5" x14ac:dyDescent="0.25">
      <c r="A86" s="65" t="s">
        <v>237</v>
      </c>
      <c r="B86" s="63" t="s">
        <v>288</v>
      </c>
      <c r="C86" s="1" t="s">
        <v>295</v>
      </c>
      <c r="D86" s="63" t="s">
        <v>394</v>
      </c>
      <c r="E86" s="93">
        <v>85514</v>
      </c>
    </row>
    <row r="87" spans="1:5" x14ac:dyDescent="0.25">
      <c r="A87" s="2" t="s">
        <v>237</v>
      </c>
      <c r="B87" s="63" t="s">
        <v>288</v>
      </c>
      <c r="C87" s="1" t="s">
        <v>398</v>
      </c>
      <c r="D87" s="63" t="s">
        <v>394</v>
      </c>
      <c r="E87" s="93">
        <v>239253</v>
      </c>
    </row>
    <row r="88" spans="1:5" x14ac:dyDescent="0.25">
      <c r="A88" s="2" t="s">
        <v>237</v>
      </c>
      <c r="B88" s="63" t="s">
        <v>288</v>
      </c>
      <c r="C88" s="1" t="s">
        <v>296</v>
      </c>
      <c r="D88" s="63" t="s">
        <v>394</v>
      </c>
      <c r="E88" s="67">
        <v>37678</v>
      </c>
    </row>
    <row r="89" spans="1:5" x14ac:dyDescent="0.25">
      <c r="A89" s="2" t="s">
        <v>297</v>
      </c>
      <c r="B89" s="63" t="s">
        <v>288</v>
      </c>
      <c r="C89" s="1" t="s">
        <v>298</v>
      </c>
      <c r="D89" s="63" t="s">
        <v>399</v>
      </c>
      <c r="E89" s="67">
        <v>203195</v>
      </c>
    </row>
    <row r="90" spans="1:5" x14ac:dyDescent="0.25">
      <c r="A90" s="2" t="s">
        <v>297</v>
      </c>
      <c r="B90" s="63" t="s">
        <v>288</v>
      </c>
      <c r="C90" s="1" t="s">
        <v>298</v>
      </c>
      <c r="D90" s="63" t="s">
        <v>302</v>
      </c>
      <c r="E90" s="67">
        <v>2383</v>
      </c>
    </row>
    <row r="91" spans="1:5" x14ac:dyDescent="0.25">
      <c r="A91" s="2" t="s">
        <v>300</v>
      </c>
      <c r="B91" s="63" t="s">
        <v>238</v>
      </c>
      <c r="C91" s="1" t="s">
        <v>241</v>
      </c>
      <c r="D91" s="63" t="s">
        <v>301</v>
      </c>
      <c r="E91" s="67">
        <v>5284</v>
      </c>
    </row>
    <row r="92" spans="1:5" x14ac:dyDescent="0.25">
      <c r="A92" s="65" t="s">
        <v>303</v>
      </c>
      <c r="B92" s="63" t="s">
        <v>245</v>
      </c>
      <c r="C92" s="1" t="s">
        <v>304</v>
      </c>
      <c r="D92" s="63" t="s">
        <v>394</v>
      </c>
      <c r="E92" s="136">
        <v>471382</v>
      </c>
    </row>
    <row r="93" spans="1:5" x14ac:dyDescent="0.25">
      <c r="E93" s="61">
        <f>SUM(E26:E92)</f>
        <v>22007885</v>
      </c>
    </row>
    <row r="97" spans="1:9" x14ac:dyDescent="0.25">
      <c r="A97" s="94" t="s">
        <v>305</v>
      </c>
      <c r="B97" s="94" t="s">
        <v>208</v>
      </c>
      <c r="C97"/>
      <c r="D97"/>
      <c r="E97"/>
      <c r="F97"/>
      <c r="G97"/>
      <c r="H97"/>
      <c r="I97"/>
    </row>
    <row r="98" spans="1:9" x14ac:dyDescent="0.25">
      <c r="A98" s="94" t="s">
        <v>209</v>
      </c>
      <c r="B98" t="s">
        <v>237</v>
      </c>
      <c r="C98" t="s">
        <v>297</v>
      </c>
      <c r="D98" t="s">
        <v>300</v>
      </c>
      <c r="E98" t="s">
        <v>303</v>
      </c>
      <c r="F98" t="s">
        <v>210</v>
      </c>
      <c r="G98"/>
      <c r="H98"/>
      <c r="I98"/>
    </row>
    <row r="99" spans="1:9" x14ac:dyDescent="0.25">
      <c r="A99" s="75" t="s">
        <v>283</v>
      </c>
      <c r="B99" s="138">
        <v>148345</v>
      </c>
      <c r="C99" s="138"/>
      <c r="D99" s="138"/>
      <c r="E99" s="138"/>
      <c r="F99" s="138">
        <v>148345</v>
      </c>
      <c r="G99"/>
      <c r="H99"/>
      <c r="I99"/>
    </row>
    <row r="100" spans="1:9" x14ac:dyDescent="0.25">
      <c r="A100" s="75" t="s">
        <v>238</v>
      </c>
      <c r="B100" s="138">
        <v>3778023</v>
      </c>
      <c r="C100" s="138"/>
      <c r="D100" s="138">
        <v>5284</v>
      </c>
      <c r="E100" s="138"/>
      <c r="F100" s="138">
        <v>3783307</v>
      </c>
      <c r="G100"/>
      <c r="H100"/>
      <c r="I100"/>
    </row>
    <row r="101" spans="1:9" x14ac:dyDescent="0.25">
      <c r="A101" s="75" t="s">
        <v>245</v>
      </c>
      <c r="B101" s="138">
        <v>9538594</v>
      </c>
      <c r="C101" s="138"/>
      <c r="D101" s="138"/>
      <c r="E101" s="138">
        <v>471382</v>
      </c>
      <c r="F101" s="138">
        <v>10009976</v>
      </c>
      <c r="G101"/>
      <c r="H101"/>
      <c r="I101"/>
    </row>
    <row r="102" spans="1:9" x14ac:dyDescent="0.25">
      <c r="A102" s="75" t="s">
        <v>272</v>
      </c>
      <c r="B102" s="138">
        <v>5276500</v>
      </c>
      <c r="C102" s="138"/>
      <c r="D102" s="138"/>
      <c r="E102" s="138"/>
      <c r="F102" s="138">
        <v>5276500</v>
      </c>
      <c r="G102"/>
      <c r="H102"/>
      <c r="I102"/>
    </row>
    <row r="103" spans="1:9" x14ac:dyDescent="0.25">
      <c r="A103" s="75" t="s">
        <v>285</v>
      </c>
      <c r="B103" s="138">
        <v>743560</v>
      </c>
      <c r="C103" s="138"/>
      <c r="D103" s="138"/>
      <c r="E103" s="138"/>
      <c r="F103" s="138">
        <v>743560</v>
      </c>
      <c r="G103"/>
      <c r="H103"/>
      <c r="I103"/>
    </row>
    <row r="104" spans="1:9" x14ac:dyDescent="0.25">
      <c r="A104" s="75" t="s">
        <v>288</v>
      </c>
      <c r="B104" s="138">
        <v>990861</v>
      </c>
      <c r="C104" s="138">
        <v>205578</v>
      </c>
      <c r="D104" s="138"/>
      <c r="E104" s="138"/>
      <c r="F104" s="138">
        <v>1196439</v>
      </c>
      <c r="G104"/>
      <c r="H104"/>
      <c r="I104"/>
    </row>
    <row r="105" spans="1:9" x14ac:dyDescent="0.25">
      <c r="A105" s="75" t="s">
        <v>526</v>
      </c>
      <c r="B105" s="138">
        <v>300000</v>
      </c>
      <c r="C105" s="138"/>
      <c r="D105" s="138"/>
      <c r="E105" s="138"/>
      <c r="F105" s="138">
        <v>300000</v>
      </c>
      <c r="G105"/>
      <c r="H105"/>
      <c r="I105"/>
    </row>
    <row r="106" spans="1:9" x14ac:dyDescent="0.25">
      <c r="A106" s="75" t="s">
        <v>527</v>
      </c>
      <c r="B106" s="138">
        <v>549758</v>
      </c>
      <c r="C106" s="138"/>
      <c r="D106" s="138"/>
      <c r="E106" s="138"/>
      <c r="F106" s="138">
        <v>549758</v>
      </c>
      <c r="G106"/>
      <c r="H106"/>
      <c r="I106"/>
    </row>
    <row r="107" spans="1:9" x14ac:dyDescent="0.25">
      <c r="A107" s="75" t="s">
        <v>210</v>
      </c>
      <c r="B107" s="138">
        <v>21325641</v>
      </c>
      <c r="C107" s="138">
        <v>205578</v>
      </c>
      <c r="D107" s="138">
        <v>5284</v>
      </c>
      <c r="E107" s="138">
        <v>471382</v>
      </c>
      <c r="F107" s="138">
        <v>22007885</v>
      </c>
      <c r="G107"/>
      <c r="H107"/>
      <c r="I107"/>
    </row>
    <row r="108" spans="1:9" x14ac:dyDescent="0.25">
      <c r="A108"/>
      <c r="B108"/>
      <c r="C108"/>
      <c r="D108"/>
      <c r="E108"/>
      <c r="F108"/>
      <c r="G108"/>
    </row>
    <row r="109" spans="1:9" x14ac:dyDescent="0.25">
      <c r="A109"/>
      <c r="B109"/>
      <c r="C109"/>
    </row>
    <row r="110" spans="1:9" x14ac:dyDescent="0.25">
      <c r="A110"/>
      <c r="B110"/>
      <c r="C110"/>
    </row>
    <row r="111" spans="1:9" x14ac:dyDescent="0.25">
      <c r="A111"/>
      <c r="B111"/>
      <c r="C111"/>
    </row>
    <row r="112" spans="1:9" x14ac:dyDescent="0.25">
      <c r="A112"/>
      <c r="B112"/>
      <c r="C112"/>
    </row>
    <row r="113" spans="1:3" x14ac:dyDescent="0.25">
      <c r="A113"/>
      <c r="B113"/>
      <c r="C113"/>
    </row>
    <row r="114" spans="1:3" x14ac:dyDescent="0.25">
      <c r="A114"/>
      <c r="B114"/>
      <c r="C114"/>
    </row>
  </sheetData>
  <sortState xmlns:xlrd2="http://schemas.microsoft.com/office/spreadsheetml/2017/richdata2" ref="A26:E92">
    <sortCondition ref="A26:A92"/>
    <sortCondition ref="B26:B92"/>
    <sortCondition ref="C26:C92"/>
    <sortCondition ref="D26:D92"/>
  </sortState>
  <mergeCells count="1">
    <mergeCell ref="B5:J5"/>
  </mergeCells>
  <printOptions horizontalCentered="1"/>
  <pageMargins left="0.75" right="0.75" top="0.5" bottom="0.5" header="0.3" footer="0.3"/>
  <pageSetup scale="83" fitToHeight="0" orientation="landscape" r:id="rId2"/>
  <headerFooter>
    <oddFooter>&amp;L&amp;8&amp;D&amp;C&amp;8&amp;P&amp;R&amp;8&amp;F</oddFooter>
  </headerFooter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5E5E6-C9CC-47E7-A530-AD7E9D936C17}">
  <sheetPr>
    <tabColor theme="9"/>
    <pageSetUpPr fitToPage="1"/>
  </sheetPr>
  <dimension ref="A1:J135"/>
  <sheetViews>
    <sheetView workbookViewId="0"/>
  </sheetViews>
  <sheetFormatPr defaultColWidth="8.85546875" defaultRowHeight="15" x14ac:dyDescent="0.25"/>
  <cols>
    <col min="1" max="1" width="26.28515625" style="2" customWidth="1"/>
    <col min="2" max="2" width="12.85546875" style="1" customWidth="1"/>
    <col min="3" max="3" width="12.5703125" style="1" customWidth="1"/>
    <col min="4" max="4" width="12.42578125" style="1" customWidth="1"/>
    <col min="5" max="5" width="13.140625" style="1" customWidth="1"/>
    <col min="6" max="9" width="11.85546875" style="1" customWidth="1"/>
    <col min="10" max="10" width="13.42578125" style="1" customWidth="1"/>
    <col min="11" max="22" width="14" style="2" customWidth="1"/>
    <col min="23" max="16384" width="8.85546875" style="2"/>
  </cols>
  <sheetData>
    <row r="1" spans="1:10" ht="25.9" customHeight="1" x14ac:dyDescent="0.4">
      <c r="A1" s="3"/>
      <c r="J1" s="26"/>
    </row>
    <row r="2" spans="1:10" ht="25.9" customHeight="1" x14ac:dyDescent="0.3">
      <c r="A2" s="3"/>
    </row>
    <row r="3" spans="1:10" ht="18.75" customHeight="1" x14ac:dyDescent="0.3">
      <c r="A3" s="3" t="s">
        <v>381</v>
      </c>
      <c r="J3" s="6" t="str">
        <f>+'Attachment A - Base'!K3</f>
        <v>BPA #26-01</v>
      </c>
    </row>
    <row r="4" spans="1:10" ht="20.100000000000001" customHeight="1" x14ac:dyDescent="0.25">
      <c r="A4" s="17">
        <f>+'Attachment A - Base'!A4</f>
        <v>46240</v>
      </c>
    </row>
    <row r="5" spans="1:10" x14ac:dyDescent="0.25">
      <c r="B5" s="157"/>
      <c r="C5" s="157"/>
      <c r="D5" s="157"/>
      <c r="E5" s="157"/>
      <c r="F5" s="157"/>
      <c r="G5" s="157"/>
      <c r="H5" s="157"/>
      <c r="I5" s="157"/>
      <c r="J5" s="157"/>
    </row>
    <row r="6" spans="1:10" x14ac:dyDescent="0.25">
      <c r="J6" s="19"/>
    </row>
    <row r="7" spans="1:10" ht="60.75" thickBot="1" x14ac:dyDescent="0.3">
      <c r="A7" s="4"/>
      <c r="B7" s="5" t="s">
        <v>225</v>
      </c>
      <c r="C7" s="5" t="s">
        <v>226</v>
      </c>
      <c r="D7" s="5" t="s">
        <v>227</v>
      </c>
      <c r="E7" s="5" t="s">
        <v>228</v>
      </c>
      <c r="F7" s="5" t="s">
        <v>229</v>
      </c>
      <c r="G7" s="5" t="s">
        <v>230</v>
      </c>
      <c r="H7" s="5" t="s">
        <v>231</v>
      </c>
      <c r="I7" s="5" t="s">
        <v>232</v>
      </c>
      <c r="J7" s="20" t="s">
        <v>380</v>
      </c>
    </row>
    <row r="8" spans="1:10" ht="19.149999999999999" customHeight="1" x14ac:dyDescent="0.25">
      <c r="A8" s="14"/>
      <c r="B8" s="16"/>
      <c r="C8" s="16"/>
      <c r="D8" s="16"/>
      <c r="E8" s="16"/>
      <c r="F8" s="16"/>
      <c r="G8" s="16"/>
      <c r="H8" s="16"/>
      <c r="I8" s="16"/>
      <c r="J8" s="21"/>
    </row>
    <row r="9" spans="1:10" ht="19.149999999999999" customHeight="1" x14ac:dyDescent="0.25">
      <c r="A9" s="2" t="s">
        <v>9</v>
      </c>
      <c r="B9" s="25">
        <f>(150350+145461)+(1984)-B16</f>
        <v>132581</v>
      </c>
      <c r="C9" s="25">
        <v>0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2">
        <f t="shared" ref="J9:J14" si="0">SUM(B9:I9)</f>
        <v>132581</v>
      </c>
    </row>
    <row r="10" spans="1:10" ht="19.149999999999999" customHeight="1" x14ac:dyDescent="0.25">
      <c r="A10" s="2" t="s">
        <v>10</v>
      </c>
      <c r="B10" s="25">
        <f>(6750421)+(-6709)-B15</f>
        <v>6091654</v>
      </c>
      <c r="C10" s="25">
        <v>0</v>
      </c>
      <c r="D10" s="25">
        <v>185058</v>
      </c>
      <c r="E10" s="25">
        <v>23732</v>
      </c>
      <c r="F10" s="25">
        <v>0</v>
      </c>
      <c r="G10" s="25">
        <v>0</v>
      </c>
      <c r="H10" s="25">
        <v>0</v>
      </c>
      <c r="I10" s="25">
        <v>0</v>
      </c>
      <c r="J10" s="22">
        <f t="shared" si="0"/>
        <v>6300444</v>
      </c>
    </row>
    <row r="11" spans="1:10" ht="19.149999999999999" customHeight="1" x14ac:dyDescent="0.25">
      <c r="A11" s="2" t="s">
        <v>11</v>
      </c>
      <c r="B11" s="25">
        <f>(13982951)+(96488)</f>
        <v>14079439</v>
      </c>
      <c r="C11" s="25">
        <v>0</v>
      </c>
      <c r="D11" s="25">
        <v>85985</v>
      </c>
      <c r="E11" s="25">
        <v>0</v>
      </c>
      <c r="F11" s="25">
        <v>0</v>
      </c>
      <c r="G11" s="25">
        <v>87966</v>
      </c>
      <c r="H11" s="25">
        <v>834000</v>
      </c>
      <c r="I11" s="25">
        <v>0</v>
      </c>
      <c r="J11" s="22">
        <f t="shared" si="0"/>
        <v>15087390</v>
      </c>
    </row>
    <row r="12" spans="1:10" ht="19.149999999999999" customHeight="1" x14ac:dyDescent="0.25">
      <c r="A12" s="2" t="s">
        <v>12</v>
      </c>
      <c r="B12" s="25">
        <f>(1692894)+(196564)</f>
        <v>1889458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2">
        <f t="shared" si="0"/>
        <v>1889458</v>
      </c>
    </row>
    <row r="13" spans="1:10" ht="19.149999999999999" customHeight="1" x14ac:dyDescent="0.25">
      <c r="A13" s="2" t="s">
        <v>13</v>
      </c>
      <c r="B13" s="25">
        <f>(-115189)+(62646)</f>
        <v>-52543</v>
      </c>
      <c r="C13" s="25">
        <v>0</v>
      </c>
      <c r="D13" s="25">
        <v>-43402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2">
        <f t="shared" si="0"/>
        <v>-95945</v>
      </c>
    </row>
    <row r="14" spans="1:10" ht="19.149999999999999" customHeight="1" x14ac:dyDescent="0.25">
      <c r="A14" s="2" t="s">
        <v>14</v>
      </c>
      <c r="B14" s="25">
        <f>(385108)+(-236364)</f>
        <v>148744</v>
      </c>
      <c r="C14" s="25">
        <v>0</v>
      </c>
      <c r="D14" s="25">
        <v>403132</v>
      </c>
      <c r="E14" s="25">
        <v>0</v>
      </c>
      <c r="F14" s="25">
        <v>63813</v>
      </c>
      <c r="G14" s="25">
        <v>0</v>
      </c>
      <c r="H14" s="25">
        <v>0</v>
      </c>
      <c r="I14" s="25">
        <v>0</v>
      </c>
      <c r="J14" s="22">
        <f t="shared" si="0"/>
        <v>615689</v>
      </c>
    </row>
    <row r="15" spans="1:10" ht="19.149999999999999" customHeight="1" x14ac:dyDescent="0.25">
      <c r="A15" s="2" t="s">
        <v>507</v>
      </c>
      <c r="B15" s="25">
        <f>(640791+10750)+(517)</f>
        <v>652058</v>
      </c>
      <c r="C15" s="25">
        <v>0</v>
      </c>
      <c r="D15" s="25"/>
      <c r="E15" s="25"/>
      <c r="F15" s="25"/>
      <c r="G15" s="25"/>
      <c r="H15" s="25"/>
      <c r="I15" s="25"/>
      <c r="J15" s="22">
        <f>SUM(B15:I15)</f>
        <v>652058</v>
      </c>
    </row>
    <row r="16" spans="1:10" ht="19.149999999999999" customHeight="1" x14ac:dyDescent="0.25">
      <c r="A16" s="2" t="s">
        <v>508</v>
      </c>
      <c r="B16" s="25">
        <f>(163842)+(1372)</f>
        <v>165214</v>
      </c>
      <c r="C16" s="25">
        <v>0</v>
      </c>
      <c r="D16" s="25"/>
      <c r="E16" s="25"/>
      <c r="F16" s="25"/>
      <c r="G16" s="25"/>
      <c r="H16" s="25"/>
      <c r="I16" s="25"/>
      <c r="J16" s="22">
        <f>SUM(B16:I16)</f>
        <v>165214</v>
      </c>
    </row>
    <row r="17" spans="1:10" ht="19.149999999999999" customHeight="1" x14ac:dyDescent="0.25">
      <c r="A17" s="9" t="s">
        <v>15</v>
      </c>
      <c r="B17" s="8">
        <f t="shared" ref="B17:J17" si="1">SUM(B9:B16)</f>
        <v>23106605</v>
      </c>
      <c r="C17" s="8">
        <f t="shared" si="1"/>
        <v>0</v>
      </c>
      <c r="D17" s="8">
        <f t="shared" si="1"/>
        <v>630773</v>
      </c>
      <c r="E17" s="8">
        <f t="shared" si="1"/>
        <v>23732</v>
      </c>
      <c r="F17" s="8">
        <f t="shared" si="1"/>
        <v>63813</v>
      </c>
      <c r="G17" s="8">
        <f t="shared" si="1"/>
        <v>87966</v>
      </c>
      <c r="H17" s="8">
        <f t="shared" si="1"/>
        <v>834000</v>
      </c>
      <c r="I17" s="8">
        <f t="shared" si="1"/>
        <v>0</v>
      </c>
      <c r="J17" s="23">
        <f t="shared" si="1"/>
        <v>24746889</v>
      </c>
    </row>
    <row r="18" spans="1:10" ht="19.149999999999999" customHeight="1" x14ac:dyDescent="0.25">
      <c r="A18" s="2" t="s">
        <v>16</v>
      </c>
      <c r="B18" s="136"/>
      <c r="C18" s="136"/>
      <c r="D18" s="67"/>
      <c r="E18" s="67"/>
      <c r="F18" s="67"/>
      <c r="G18" s="7"/>
      <c r="H18" s="7"/>
      <c r="I18" s="7"/>
      <c r="J18" s="22">
        <f>SUM(B18:I18)</f>
        <v>0</v>
      </c>
    </row>
    <row r="19" spans="1:10" ht="19.149999999999999" customHeight="1" x14ac:dyDescent="0.25">
      <c r="A19" s="2" t="s">
        <v>17</v>
      </c>
      <c r="B19" s="25">
        <f>(181275)+(624)</f>
        <v>181899</v>
      </c>
      <c r="C19" s="25">
        <f>-5347820</f>
        <v>-5347820</v>
      </c>
      <c r="D19" s="25">
        <v>0</v>
      </c>
      <c r="E19" s="25">
        <v>0</v>
      </c>
      <c r="F19" s="25">
        <v>-5411</v>
      </c>
      <c r="G19" s="25">
        <v>0</v>
      </c>
      <c r="H19" s="25">
        <v>0</v>
      </c>
      <c r="I19" s="25">
        <v>0</v>
      </c>
      <c r="J19" s="22">
        <f>SUM(B19:I19)</f>
        <v>-5171332</v>
      </c>
    </row>
    <row r="20" spans="1:10" ht="15" customHeight="1" thickBot="1" x14ac:dyDescent="0.3">
      <c r="A20" s="10" t="s">
        <v>18</v>
      </c>
      <c r="B20" s="11">
        <f>SUM(B17:B19)</f>
        <v>23288504</v>
      </c>
      <c r="C20" s="11">
        <f t="shared" ref="C20:G20" si="2">SUM(C17:C19)</f>
        <v>-5347820</v>
      </c>
      <c r="D20" s="11">
        <f t="shared" si="2"/>
        <v>630773</v>
      </c>
      <c r="E20" s="11">
        <f t="shared" si="2"/>
        <v>23732</v>
      </c>
      <c r="F20" s="11">
        <f t="shared" si="2"/>
        <v>58402</v>
      </c>
      <c r="G20" s="11">
        <f t="shared" si="2"/>
        <v>87966</v>
      </c>
      <c r="H20" s="11">
        <f t="shared" ref="H20" si="3">SUM(H17:H19)</f>
        <v>834000</v>
      </c>
      <c r="I20" s="11">
        <f>SUM(I17:I19)</f>
        <v>0</v>
      </c>
      <c r="J20" s="24">
        <f>SUM(J17:J19)</f>
        <v>19575557</v>
      </c>
    </row>
    <row r="21" spans="1:10" x14ac:dyDescent="0.25">
      <c r="A21" s="2" t="s">
        <v>383</v>
      </c>
      <c r="B21" s="2"/>
      <c r="C21" s="2"/>
      <c r="D21" s="12"/>
    </row>
    <row r="22" spans="1:10" x14ac:dyDescent="0.25">
      <c r="B22" s="2"/>
      <c r="C22" s="2"/>
      <c r="D22" s="12"/>
    </row>
    <row r="23" spans="1:10" x14ac:dyDescent="0.25">
      <c r="A23" s="12" t="s">
        <v>382</v>
      </c>
      <c r="B23" s="2"/>
      <c r="C23" s="2"/>
    </row>
    <row r="24" spans="1:10" x14ac:dyDescent="0.25">
      <c r="A24" s="91" t="s">
        <v>204</v>
      </c>
      <c r="B24" s="92" t="s">
        <v>203</v>
      </c>
      <c r="C24" s="91" t="s">
        <v>205</v>
      </c>
      <c r="D24" s="91" t="s">
        <v>206</v>
      </c>
      <c r="E24" s="91" t="s">
        <v>207</v>
      </c>
    </row>
    <row r="25" spans="1:10" x14ac:dyDescent="0.25">
      <c r="A25" s="2" t="s">
        <v>237</v>
      </c>
      <c r="B25" s="63" t="s">
        <v>238</v>
      </c>
      <c r="C25" s="63" t="s">
        <v>410</v>
      </c>
      <c r="D25" s="63" t="s">
        <v>394</v>
      </c>
      <c r="E25" s="2">
        <v>104</v>
      </c>
    </row>
    <row r="26" spans="1:10" x14ac:dyDescent="0.25">
      <c r="A26" s="2" t="s">
        <v>237</v>
      </c>
      <c r="B26" s="63" t="s">
        <v>238</v>
      </c>
      <c r="C26" s="63" t="s">
        <v>411</v>
      </c>
      <c r="D26" s="63" t="s">
        <v>394</v>
      </c>
      <c r="E26" s="2">
        <v>189651</v>
      </c>
    </row>
    <row r="27" spans="1:10" x14ac:dyDescent="0.25">
      <c r="A27" s="2" t="s">
        <v>237</v>
      </c>
      <c r="B27" s="63" t="s">
        <v>238</v>
      </c>
      <c r="C27" s="63" t="s">
        <v>412</v>
      </c>
      <c r="D27" s="63" t="s">
        <v>394</v>
      </c>
      <c r="E27" s="2">
        <v>14864</v>
      </c>
    </row>
    <row r="28" spans="1:10" x14ac:dyDescent="0.25">
      <c r="A28" s="2" t="s">
        <v>237</v>
      </c>
      <c r="B28" s="63" t="s">
        <v>238</v>
      </c>
      <c r="C28" s="63" t="s">
        <v>413</v>
      </c>
      <c r="D28" s="63" t="s">
        <v>414</v>
      </c>
      <c r="E28" s="2">
        <v>991</v>
      </c>
    </row>
    <row r="29" spans="1:10" x14ac:dyDescent="0.25">
      <c r="A29" s="2" t="s">
        <v>237</v>
      </c>
      <c r="B29" s="63" t="s">
        <v>238</v>
      </c>
      <c r="C29" s="63" t="s">
        <v>413</v>
      </c>
      <c r="D29" s="63" t="s">
        <v>415</v>
      </c>
      <c r="E29" s="2">
        <v>144</v>
      </c>
    </row>
    <row r="30" spans="1:10" x14ac:dyDescent="0.25">
      <c r="A30" s="2" t="s">
        <v>237</v>
      </c>
      <c r="B30" s="63" t="s">
        <v>238</v>
      </c>
      <c r="C30" s="63" t="s">
        <v>413</v>
      </c>
      <c r="D30" s="63" t="s">
        <v>416</v>
      </c>
      <c r="E30" s="2">
        <v>11</v>
      </c>
    </row>
    <row r="31" spans="1:10" x14ac:dyDescent="0.25">
      <c r="A31" s="2" t="s">
        <v>237</v>
      </c>
      <c r="B31" s="63" t="s">
        <v>238</v>
      </c>
      <c r="C31" s="63" t="s">
        <v>417</v>
      </c>
      <c r="D31" s="63" t="s">
        <v>394</v>
      </c>
      <c r="E31" s="2">
        <v>1</v>
      </c>
    </row>
    <row r="32" spans="1:10" x14ac:dyDescent="0.25">
      <c r="A32" s="2" t="s">
        <v>237</v>
      </c>
      <c r="B32" s="63" t="s">
        <v>238</v>
      </c>
      <c r="C32" s="63" t="s">
        <v>418</v>
      </c>
      <c r="D32" s="63" t="s">
        <v>394</v>
      </c>
      <c r="E32" s="2">
        <v>3199</v>
      </c>
    </row>
    <row r="33" spans="1:5" x14ac:dyDescent="0.25">
      <c r="A33" s="2" t="s">
        <v>237</v>
      </c>
      <c r="B33" s="63" t="s">
        <v>238</v>
      </c>
      <c r="C33" s="63" t="s">
        <v>419</v>
      </c>
      <c r="D33" s="63" t="s">
        <v>394</v>
      </c>
      <c r="E33" s="2">
        <v>7742</v>
      </c>
    </row>
    <row r="34" spans="1:5" x14ac:dyDescent="0.25">
      <c r="A34" s="2" t="s">
        <v>237</v>
      </c>
      <c r="B34" s="63" t="s">
        <v>245</v>
      </c>
      <c r="C34" s="63" t="s">
        <v>420</v>
      </c>
      <c r="D34" s="63" t="s">
        <v>421</v>
      </c>
      <c r="E34" s="2">
        <v>1450</v>
      </c>
    </row>
    <row r="35" spans="1:5" x14ac:dyDescent="0.25">
      <c r="A35" s="2" t="s">
        <v>237</v>
      </c>
      <c r="B35" s="63" t="s">
        <v>245</v>
      </c>
      <c r="C35" s="63" t="s">
        <v>422</v>
      </c>
      <c r="D35" s="63" t="s">
        <v>394</v>
      </c>
      <c r="E35" s="2">
        <v>10662</v>
      </c>
    </row>
    <row r="36" spans="1:5" x14ac:dyDescent="0.25">
      <c r="A36" s="2" t="s">
        <v>237</v>
      </c>
      <c r="B36" s="63" t="s">
        <v>245</v>
      </c>
      <c r="C36" s="63" t="s">
        <v>306</v>
      </c>
      <c r="D36" s="63" t="s">
        <v>394</v>
      </c>
      <c r="E36" s="2">
        <v>46182</v>
      </c>
    </row>
    <row r="37" spans="1:5" x14ac:dyDescent="0.25">
      <c r="A37" s="2" t="s">
        <v>237</v>
      </c>
      <c r="B37" s="63" t="s">
        <v>245</v>
      </c>
      <c r="C37" s="63" t="s">
        <v>423</v>
      </c>
      <c r="D37" s="63" t="s">
        <v>395</v>
      </c>
      <c r="E37" s="2">
        <v>2315</v>
      </c>
    </row>
    <row r="38" spans="1:5" x14ac:dyDescent="0.25">
      <c r="A38" s="2" t="s">
        <v>237</v>
      </c>
      <c r="B38" s="63" t="s">
        <v>245</v>
      </c>
      <c r="C38" s="63" t="s">
        <v>424</v>
      </c>
      <c r="D38" s="63" t="s">
        <v>394</v>
      </c>
      <c r="E38" s="2">
        <v>-327</v>
      </c>
    </row>
    <row r="39" spans="1:5" x14ac:dyDescent="0.25">
      <c r="A39" s="2" t="s">
        <v>237</v>
      </c>
      <c r="B39" s="63" t="s">
        <v>245</v>
      </c>
      <c r="C39" s="63" t="s">
        <v>424</v>
      </c>
      <c r="D39" s="63" t="s">
        <v>396</v>
      </c>
      <c r="E39" s="2">
        <v>-57869</v>
      </c>
    </row>
    <row r="40" spans="1:5" x14ac:dyDescent="0.25">
      <c r="A40" s="2" t="s">
        <v>237</v>
      </c>
      <c r="B40" s="63" t="s">
        <v>245</v>
      </c>
      <c r="C40" s="63" t="s">
        <v>425</v>
      </c>
      <c r="D40" s="63" t="s">
        <v>394</v>
      </c>
      <c r="E40" s="2">
        <v>15121</v>
      </c>
    </row>
    <row r="41" spans="1:5" x14ac:dyDescent="0.25">
      <c r="A41" s="2" t="s">
        <v>237</v>
      </c>
      <c r="B41" s="63" t="s">
        <v>245</v>
      </c>
      <c r="C41" s="63" t="s">
        <v>307</v>
      </c>
      <c r="D41" s="63" t="s">
        <v>394</v>
      </c>
      <c r="E41" s="2">
        <v>64064</v>
      </c>
    </row>
    <row r="42" spans="1:5" x14ac:dyDescent="0.25">
      <c r="A42" s="2" t="s">
        <v>237</v>
      </c>
      <c r="B42" s="63" t="s">
        <v>245</v>
      </c>
      <c r="C42" s="63" t="s">
        <v>426</v>
      </c>
      <c r="D42" s="63" t="s">
        <v>394</v>
      </c>
      <c r="E42" s="2">
        <v>61133</v>
      </c>
    </row>
    <row r="43" spans="1:5" x14ac:dyDescent="0.25">
      <c r="A43" s="2" t="s">
        <v>237</v>
      </c>
      <c r="B43" s="63" t="s">
        <v>245</v>
      </c>
      <c r="C43" s="63" t="s">
        <v>427</v>
      </c>
      <c r="D43" s="63" t="s">
        <v>394</v>
      </c>
      <c r="E43" s="2">
        <v>5891</v>
      </c>
    </row>
    <row r="44" spans="1:5" x14ac:dyDescent="0.25">
      <c r="A44" s="2" t="s">
        <v>237</v>
      </c>
      <c r="B44" s="63" t="s">
        <v>245</v>
      </c>
      <c r="C44" s="63" t="s">
        <v>428</v>
      </c>
      <c r="D44" s="63" t="s">
        <v>394</v>
      </c>
      <c r="E44" s="2">
        <v>127306</v>
      </c>
    </row>
    <row r="45" spans="1:5" x14ac:dyDescent="0.25">
      <c r="A45" s="2" t="s">
        <v>237</v>
      </c>
      <c r="B45" s="63" t="s">
        <v>245</v>
      </c>
      <c r="C45" s="63" t="s">
        <v>429</v>
      </c>
      <c r="D45" s="63" t="s">
        <v>394</v>
      </c>
      <c r="E45" s="2">
        <v>8352</v>
      </c>
    </row>
    <row r="46" spans="1:5" x14ac:dyDescent="0.25">
      <c r="A46" s="2" t="s">
        <v>237</v>
      </c>
      <c r="B46" s="63" t="s">
        <v>245</v>
      </c>
      <c r="C46" s="63" t="s">
        <v>430</v>
      </c>
      <c r="D46" s="63" t="s">
        <v>394</v>
      </c>
      <c r="E46" s="2">
        <v>39548</v>
      </c>
    </row>
    <row r="47" spans="1:5" x14ac:dyDescent="0.25">
      <c r="A47" s="2" t="s">
        <v>237</v>
      </c>
      <c r="B47" s="63" t="s">
        <v>245</v>
      </c>
      <c r="C47" s="63" t="s">
        <v>431</v>
      </c>
      <c r="D47" s="63" t="s">
        <v>394</v>
      </c>
      <c r="E47" s="2">
        <v>12608</v>
      </c>
    </row>
    <row r="48" spans="1:5" x14ac:dyDescent="0.25">
      <c r="A48" s="2" t="s">
        <v>237</v>
      </c>
      <c r="B48" s="63" t="s">
        <v>245</v>
      </c>
      <c r="C48" s="63" t="s">
        <v>432</v>
      </c>
      <c r="D48" s="63" t="s">
        <v>394</v>
      </c>
      <c r="E48" s="2">
        <v>22159</v>
      </c>
    </row>
    <row r="49" spans="1:5" x14ac:dyDescent="0.25">
      <c r="A49" s="2" t="s">
        <v>237</v>
      </c>
      <c r="B49" s="63" t="s">
        <v>245</v>
      </c>
      <c r="C49" s="63" t="s">
        <v>308</v>
      </c>
      <c r="D49" s="63" t="s">
        <v>394</v>
      </c>
      <c r="E49" s="2">
        <v>-1</v>
      </c>
    </row>
    <row r="50" spans="1:5" x14ac:dyDescent="0.25">
      <c r="A50" s="2" t="s">
        <v>237</v>
      </c>
      <c r="B50" s="63" t="s">
        <v>245</v>
      </c>
      <c r="C50" s="63" t="s">
        <v>433</v>
      </c>
      <c r="D50" s="63" t="s">
        <v>394</v>
      </c>
      <c r="E50" s="2">
        <v>4540</v>
      </c>
    </row>
    <row r="51" spans="1:5" x14ac:dyDescent="0.25">
      <c r="A51" s="2" t="s">
        <v>237</v>
      </c>
      <c r="B51" s="63" t="s">
        <v>245</v>
      </c>
      <c r="C51" s="63" t="s">
        <v>434</v>
      </c>
      <c r="D51" s="63" t="s">
        <v>394</v>
      </c>
      <c r="E51" s="2">
        <v>110478</v>
      </c>
    </row>
    <row r="52" spans="1:5" x14ac:dyDescent="0.25">
      <c r="A52" s="2" t="s">
        <v>237</v>
      </c>
      <c r="B52" s="63" t="s">
        <v>245</v>
      </c>
      <c r="C52" s="63" t="s">
        <v>435</v>
      </c>
      <c r="D52" s="63" t="s">
        <v>394</v>
      </c>
      <c r="E52" s="2">
        <v>103082</v>
      </c>
    </row>
    <row r="53" spans="1:5" x14ac:dyDescent="0.25">
      <c r="A53" s="2" t="s">
        <v>237</v>
      </c>
      <c r="B53" s="63" t="s">
        <v>245</v>
      </c>
      <c r="C53" s="63" t="s">
        <v>436</v>
      </c>
      <c r="D53" s="63" t="s">
        <v>394</v>
      </c>
      <c r="E53" s="2">
        <v>-5660</v>
      </c>
    </row>
    <row r="54" spans="1:5" x14ac:dyDescent="0.25">
      <c r="A54" s="2" t="s">
        <v>237</v>
      </c>
      <c r="B54" s="63" t="s">
        <v>245</v>
      </c>
      <c r="C54" s="63" t="s">
        <v>437</v>
      </c>
      <c r="D54" s="63" t="s">
        <v>394</v>
      </c>
      <c r="E54" s="2">
        <v>437</v>
      </c>
    </row>
    <row r="55" spans="1:5" x14ac:dyDescent="0.25">
      <c r="A55" s="2" t="s">
        <v>237</v>
      </c>
      <c r="B55" s="63" t="s">
        <v>245</v>
      </c>
      <c r="C55" s="63" t="s">
        <v>438</v>
      </c>
      <c r="D55" s="63" t="s">
        <v>394</v>
      </c>
      <c r="E55" s="2">
        <v>24430</v>
      </c>
    </row>
    <row r="56" spans="1:5" x14ac:dyDescent="0.25">
      <c r="A56" s="2" t="s">
        <v>237</v>
      </c>
      <c r="B56" s="63" t="s">
        <v>245</v>
      </c>
      <c r="C56" s="63" t="s">
        <v>439</v>
      </c>
      <c r="D56" s="63" t="s">
        <v>394</v>
      </c>
      <c r="E56" s="2">
        <v>10607</v>
      </c>
    </row>
    <row r="57" spans="1:5" x14ac:dyDescent="0.25">
      <c r="A57" s="2" t="s">
        <v>237</v>
      </c>
      <c r="B57" s="63" t="s">
        <v>245</v>
      </c>
      <c r="C57" s="63" t="s">
        <v>440</v>
      </c>
      <c r="D57" s="63" t="s">
        <v>394</v>
      </c>
      <c r="E57" s="2">
        <v>317420</v>
      </c>
    </row>
    <row r="58" spans="1:5" x14ac:dyDescent="0.25">
      <c r="A58" s="2" t="s">
        <v>237</v>
      </c>
      <c r="B58" s="63" t="s">
        <v>245</v>
      </c>
      <c r="C58" s="63" t="s">
        <v>441</v>
      </c>
      <c r="D58" s="63" t="s">
        <v>394</v>
      </c>
      <c r="E58" s="2">
        <v>-54792</v>
      </c>
    </row>
    <row r="59" spans="1:5" x14ac:dyDescent="0.25">
      <c r="A59" s="2" t="s">
        <v>237</v>
      </c>
      <c r="B59" s="63" t="s">
        <v>245</v>
      </c>
      <c r="C59" s="63" t="s">
        <v>442</v>
      </c>
      <c r="D59" s="63" t="s">
        <v>394</v>
      </c>
      <c r="E59" s="2">
        <v>24456</v>
      </c>
    </row>
    <row r="60" spans="1:5" x14ac:dyDescent="0.25">
      <c r="A60" s="2" t="s">
        <v>237</v>
      </c>
      <c r="B60" s="63" t="s">
        <v>245</v>
      </c>
      <c r="C60" s="63" t="s">
        <v>443</v>
      </c>
      <c r="D60" s="63" t="s">
        <v>394</v>
      </c>
      <c r="E60" s="2">
        <v>-31160</v>
      </c>
    </row>
    <row r="61" spans="1:5" x14ac:dyDescent="0.25">
      <c r="A61" s="2" t="s">
        <v>237</v>
      </c>
      <c r="B61" s="63" t="s">
        <v>245</v>
      </c>
      <c r="C61" s="63" t="s">
        <v>444</v>
      </c>
      <c r="D61" s="63" t="s">
        <v>394</v>
      </c>
      <c r="E61" s="2">
        <v>87554</v>
      </c>
    </row>
    <row r="62" spans="1:5" x14ac:dyDescent="0.25">
      <c r="A62" s="2" t="s">
        <v>237</v>
      </c>
      <c r="B62" s="63" t="s">
        <v>245</v>
      </c>
      <c r="C62" s="63" t="s">
        <v>445</v>
      </c>
      <c r="D62" s="63" t="s">
        <v>394</v>
      </c>
      <c r="E62" s="2">
        <v>-110000</v>
      </c>
    </row>
    <row r="63" spans="1:5" x14ac:dyDescent="0.25">
      <c r="A63" s="2" t="s">
        <v>237</v>
      </c>
      <c r="B63" s="63" t="s">
        <v>272</v>
      </c>
      <c r="C63" s="63" t="s">
        <v>446</v>
      </c>
      <c r="D63" s="63" t="s">
        <v>394</v>
      </c>
      <c r="E63" s="2">
        <v>44748</v>
      </c>
    </row>
    <row r="64" spans="1:5" x14ac:dyDescent="0.25">
      <c r="A64" s="2" t="s">
        <v>237</v>
      </c>
      <c r="B64" s="63" t="s">
        <v>272</v>
      </c>
      <c r="C64" s="63" t="s">
        <v>446</v>
      </c>
      <c r="D64" s="63" t="s">
        <v>447</v>
      </c>
      <c r="E64" s="2">
        <v>13666</v>
      </c>
    </row>
    <row r="65" spans="1:5" x14ac:dyDescent="0.25">
      <c r="A65" s="2" t="s">
        <v>237</v>
      </c>
      <c r="B65" s="63" t="s">
        <v>272</v>
      </c>
      <c r="C65" s="63" t="s">
        <v>446</v>
      </c>
      <c r="D65" s="63" t="s">
        <v>400</v>
      </c>
      <c r="E65" s="2">
        <v>2348</v>
      </c>
    </row>
    <row r="66" spans="1:5" x14ac:dyDescent="0.25">
      <c r="A66" s="2" t="s">
        <v>237</v>
      </c>
      <c r="B66" s="63" t="s">
        <v>272</v>
      </c>
      <c r="C66" s="63" t="s">
        <v>446</v>
      </c>
      <c r="D66" s="63" t="s">
        <v>401</v>
      </c>
      <c r="E66" s="2">
        <v>134491</v>
      </c>
    </row>
    <row r="67" spans="1:5" x14ac:dyDescent="0.25">
      <c r="A67" s="2" t="s">
        <v>237</v>
      </c>
      <c r="B67" s="63" t="s">
        <v>272</v>
      </c>
      <c r="C67" s="63" t="s">
        <v>446</v>
      </c>
      <c r="D67" s="63" t="s">
        <v>402</v>
      </c>
      <c r="E67" s="2">
        <v>22469</v>
      </c>
    </row>
    <row r="68" spans="1:5" x14ac:dyDescent="0.25">
      <c r="A68" s="2" t="s">
        <v>237</v>
      </c>
      <c r="B68" s="63" t="s">
        <v>272</v>
      </c>
      <c r="C68" s="63" t="s">
        <v>446</v>
      </c>
      <c r="D68" s="63" t="s">
        <v>274</v>
      </c>
      <c r="E68" s="2">
        <v>-59181</v>
      </c>
    </row>
    <row r="69" spans="1:5" x14ac:dyDescent="0.25">
      <c r="A69" s="2" t="s">
        <v>237</v>
      </c>
      <c r="B69" s="63" t="s">
        <v>272</v>
      </c>
      <c r="C69" s="63" t="s">
        <v>446</v>
      </c>
      <c r="D69" s="63" t="s">
        <v>275</v>
      </c>
      <c r="E69" s="2">
        <v>255887</v>
      </c>
    </row>
    <row r="70" spans="1:5" x14ac:dyDescent="0.25">
      <c r="A70" s="2" t="s">
        <v>237</v>
      </c>
      <c r="B70" s="63" t="s">
        <v>272</v>
      </c>
      <c r="C70" s="63" t="s">
        <v>446</v>
      </c>
      <c r="D70" s="63" t="s">
        <v>276</v>
      </c>
      <c r="E70" s="2">
        <v>5633</v>
      </c>
    </row>
    <row r="71" spans="1:5" x14ac:dyDescent="0.25">
      <c r="A71" s="2" t="s">
        <v>237</v>
      </c>
      <c r="B71" s="63" t="s">
        <v>272</v>
      </c>
      <c r="C71" s="63" t="s">
        <v>446</v>
      </c>
      <c r="D71" s="63" t="s">
        <v>403</v>
      </c>
      <c r="E71" s="2">
        <v>-663582</v>
      </c>
    </row>
    <row r="72" spans="1:5" x14ac:dyDescent="0.25">
      <c r="A72" s="2" t="s">
        <v>237</v>
      </c>
      <c r="B72" s="63" t="s">
        <v>272</v>
      </c>
      <c r="C72" s="63" t="s">
        <v>446</v>
      </c>
      <c r="D72" s="63" t="s">
        <v>404</v>
      </c>
      <c r="E72" s="2">
        <v>71450</v>
      </c>
    </row>
    <row r="73" spans="1:5" x14ac:dyDescent="0.25">
      <c r="A73" s="2" t="s">
        <v>237</v>
      </c>
      <c r="B73" s="63" t="s">
        <v>448</v>
      </c>
      <c r="C73" s="63" t="s">
        <v>449</v>
      </c>
      <c r="D73" s="63" t="s">
        <v>394</v>
      </c>
      <c r="E73" s="2">
        <v>18</v>
      </c>
    </row>
    <row r="74" spans="1:5" x14ac:dyDescent="0.25">
      <c r="A74" s="2" t="s">
        <v>237</v>
      </c>
      <c r="B74" s="63" t="s">
        <v>285</v>
      </c>
      <c r="C74" s="63" t="s">
        <v>450</v>
      </c>
      <c r="D74" s="63" t="s">
        <v>451</v>
      </c>
      <c r="E74" s="2">
        <v>16691</v>
      </c>
    </row>
    <row r="75" spans="1:5" x14ac:dyDescent="0.25">
      <c r="A75" s="2" t="s">
        <v>237</v>
      </c>
      <c r="B75" s="63" t="s">
        <v>285</v>
      </c>
      <c r="C75" s="63" t="s">
        <v>452</v>
      </c>
      <c r="D75" s="63" t="s">
        <v>394</v>
      </c>
      <c r="E75" s="2">
        <v>12988</v>
      </c>
    </row>
    <row r="76" spans="1:5" x14ac:dyDescent="0.25">
      <c r="A76" s="2" t="s">
        <v>237</v>
      </c>
      <c r="B76" s="63" t="s">
        <v>288</v>
      </c>
      <c r="C76" s="63" t="s">
        <v>453</v>
      </c>
      <c r="D76" s="63" t="s">
        <v>454</v>
      </c>
      <c r="E76" s="2">
        <v>55000</v>
      </c>
    </row>
    <row r="77" spans="1:5" x14ac:dyDescent="0.25">
      <c r="A77" s="2" t="s">
        <v>237</v>
      </c>
      <c r="B77" s="63" t="s">
        <v>161</v>
      </c>
      <c r="C77" s="63" t="s">
        <v>455</v>
      </c>
      <c r="D77" s="63" t="s">
        <v>394</v>
      </c>
      <c r="E77" s="2">
        <v>18000</v>
      </c>
    </row>
    <row r="78" spans="1:5" x14ac:dyDescent="0.25">
      <c r="A78" s="2" t="s">
        <v>237</v>
      </c>
      <c r="B78" s="63" t="s">
        <v>161</v>
      </c>
      <c r="C78" s="63" t="s">
        <v>456</v>
      </c>
      <c r="D78" s="63" t="s">
        <v>457</v>
      </c>
      <c r="E78" s="2">
        <v>-1212211</v>
      </c>
    </row>
    <row r="79" spans="1:5" x14ac:dyDescent="0.25">
      <c r="E79" s="64">
        <f>SUM(E25:E78)</f>
        <v>-224892</v>
      </c>
    </row>
    <row r="81" spans="1:5" x14ac:dyDescent="0.25">
      <c r="A81" s="2" t="s">
        <v>290</v>
      </c>
      <c r="B81" s="63" t="s">
        <v>238</v>
      </c>
      <c r="C81" s="63" t="s">
        <v>458</v>
      </c>
      <c r="D81" s="63" t="s">
        <v>394</v>
      </c>
      <c r="E81" s="2">
        <v>-2031</v>
      </c>
    </row>
    <row r="82" spans="1:5" x14ac:dyDescent="0.25">
      <c r="A82" s="2" t="s">
        <v>290</v>
      </c>
      <c r="B82" s="63" t="s">
        <v>238</v>
      </c>
      <c r="C82" s="63" t="s">
        <v>410</v>
      </c>
      <c r="D82" s="63" t="s">
        <v>405</v>
      </c>
      <c r="E82" s="2">
        <v>5080</v>
      </c>
    </row>
    <row r="83" spans="1:5" x14ac:dyDescent="0.25">
      <c r="A83" s="2" t="s">
        <v>290</v>
      </c>
      <c r="B83" s="63" t="s">
        <v>238</v>
      </c>
      <c r="C83" s="63" t="s">
        <v>459</v>
      </c>
      <c r="D83" s="63" t="s">
        <v>394</v>
      </c>
      <c r="E83" s="2">
        <v>2243</v>
      </c>
    </row>
    <row r="84" spans="1:5" x14ac:dyDescent="0.25">
      <c r="A84" s="2" t="s">
        <v>290</v>
      </c>
      <c r="B84" s="63" t="s">
        <v>238</v>
      </c>
      <c r="C84" s="63" t="s">
        <v>460</v>
      </c>
      <c r="D84" s="63" t="s">
        <v>394</v>
      </c>
      <c r="E84" s="2">
        <v>-2831</v>
      </c>
    </row>
    <row r="85" spans="1:5" x14ac:dyDescent="0.25">
      <c r="A85" s="2" t="s">
        <v>290</v>
      </c>
      <c r="B85" s="63" t="s">
        <v>238</v>
      </c>
      <c r="C85" s="63" t="s">
        <v>461</v>
      </c>
      <c r="D85" s="63" t="s">
        <v>462</v>
      </c>
      <c r="E85" s="2">
        <v>11662</v>
      </c>
    </row>
    <row r="86" spans="1:5" x14ac:dyDescent="0.25">
      <c r="A86" s="2" t="s">
        <v>290</v>
      </c>
      <c r="B86" s="63" t="s">
        <v>238</v>
      </c>
      <c r="C86" s="63" t="s">
        <v>309</v>
      </c>
      <c r="D86" s="63" t="s">
        <v>394</v>
      </c>
      <c r="E86" s="2">
        <v>247</v>
      </c>
    </row>
    <row r="87" spans="1:5" x14ac:dyDescent="0.25">
      <c r="A87" s="2" t="s">
        <v>290</v>
      </c>
      <c r="B87" s="63" t="s">
        <v>238</v>
      </c>
      <c r="C87" s="63" t="s">
        <v>311</v>
      </c>
      <c r="D87" s="63" t="s">
        <v>394</v>
      </c>
      <c r="E87" s="2">
        <v>3972</v>
      </c>
    </row>
    <row r="88" spans="1:5" x14ac:dyDescent="0.25">
      <c r="A88" s="2" t="s">
        <v>290</v>
      </c>
      <c r="B88" s="63" t="s">
        <v>238</v>
      </c>
      <c r="C88" s="63" t="s">
        <v>311</v>
      </c>
      <c r="D88" s="63" t="s">
        <v>301</v>
      </c>
      <c r="E88" s="2">
        <v>5941</v>
      </c>
    </row>
    <row r="89" spans="1:5" x14ac:dyDescent="0.25">
      <c r="A89" s="2" t="s">
        <v>290</v>
      </c>
      <c r="B89" s="63" t="s">
        <v>238</v>
      </c>
      <c r="C89" s="63" t="s">
        <v>463</v>
      </c>
      <c r="D89" s="63" t="s">
        <v>394</v>
      </c>
      <c r="E89" s="2">
        <v>1000</v>
      </c>
    </row>
    <row r="90" spans="1:5" x14ac:dyDescent="0.25">
      <c r="A90" s="2" t="s">
        <v>290</v>
      </c>
      <c r="B90" s="63" t="s">
        <v>238</v>
      </c>
      <c r="C90" s="63" t="s">
        <v>464</v>
      </c>
      <c r="D90" s="63" t="s">
        <v>394</v>
      </c>
      <c r="E90" s="2">
        <v>61266</v>
      </c>
    </row>
    <row r="91" spans="1:5" x14ac:dyDescent="0.25">
      <c r="A91" s="2" t="s">
        <v>290</v>
      </c>
      <c r="B91" s="63" t="s">
        <v>238</v>
      </c>
      <c r="C91" s="63" t="s">
        <v>465</v>
      </c>
      <c r="D91" s="63" t="s">
        <v>394</v>
      </c>
      <c r="E91" s="2">
        <v>60000</v>
      </c>
    </row>
    <row r="92" spans="1:5" x14ac:dyDescent="0.25">
      <c r="A92" s="2" t="s">
        <v>290</v>
      </c>
      <c r="B92" s="63" t="s">
        <v>238</v>
      </c>
      <c r="C92" s="63" t="s">
        <v>466</v>
      </c>
      <c r="D92" s="63" t="s">
        <v>394</v>
      </c>
      <c r="E92" s="2">
        <v>55000</v>
      </c>
    </row>
    <row r="93" spans="1:5" x14ac:dyDescent="0.25">
      <c r="A93" s="2" t="s">
        <v>290</v>
      </c>
      <c r="B93" s="63" t="s">
        <v>238</v>
      </c>
      <c r="C93" s="63" t="s">
        <v>467</v>
      </c>
      <c r="D93" s="63" t="s">
        <v>394</v>
      </c>
      <c r="E93" s="2">
        <v>3192</v>
      </c>
    </row>
    <row r="94" spans="1:5" x14ac:dyDescent="0.25">
      <c r="A94" s="2" t="s">
        <v>290</v>
      </c>
      <c r="B94" s="63" t="s">
        <v>238</v>
      </c>
      <c r="C94" s="63" t="s">
        <v>468</v>
      </c>
      <c r="D94" s="63" t="s">
        <v>394</v>
      </c>
      <c r="E94" s="2">
        <v>277</v>
      </c>
    </row>
    <row r="95" spans="1:5" x14ac:dyDescent="0.25">
      <c r="A95" s="2" t="s">
        <v>290</v>
      </c>
      <c r="B95" s="63" t="s">
        <v>238</v>
      </c>
      <c r="C95" s="63" t="s">
        <v>469</v>
      </c>
      <c r="D95" s="63" t="s">
        <v>394</v>
      </c>
      <c r="E95" s="2">
        <v>85321</v>
      </c>
    </row>
    <row r="96" spans="1:5" x14ac:dyDescent="0.25">
      <c r="A96" s="2" t="s">
        <v>290</v>
      </c>
      <c r="B96" s="63" t="s">
        <v>238</v>
      </c>
      <c r="C96" s="63" t="s">
        <v>470</v>
      </c>
      <c r="D96" s="63" t="s">
        <v>394</v>
      </c>
      <c r="E96" s="2">
        <v>10009</v>
      </c>
    </row>
    <row r="97" spans="1:5" x14ac:dyDescent="0.25">
      <c r="A97" s="2" t="s">
        <v>290</v>
      </c>
      <c r="B97" s="63" t="s">
        <v>238</v>
      </c>
      <c r="C97" s="63" t="s">
        <v>471</v>
      </c>
      <c r="D97" s="63" t="s">
        <v>394</v>
      </c>
      <c r="E97" s="2">
        <v>16600</v>
      </c>
    </row>
    <row r="98" spans="1:5" x14ac:dyDescent="0.25">
      <c r="A98" s="2" t="s">
        <v>290</v>
      </c>
      <c r="B98" s="63" t="s">
        <v>238</v>
      </c>
      <c r="C98" s="63" t="s">
        <v>418</v>
      </c>
      <c r="D98" s="63" t="s">
        <v>394</v>
      </c>
      <c r="E98" s="2">
        <v>17947</v>
      </c>
    </row>
    <row r="99" spans="1:5" x14ac:dyDescent="0.25">
      <c r="A99" s="2" t="s">
        <v>290</v>
      </c>
      <c r="B99" s="63" t="s">
        <v>238</v>
      </c>
      <c r="C99" s="63" t="s">
        <v>418</v>
      </c>
      <c r="D99" s="63" t="s">
        <v>406</v>
      </c>
      <c r="E99" s="2">
        <v>2438</v>
      </c>
    </row>
    <row r="100" spans="1:5" x14ac:dyDescent="0.25">
      <c r="A100" s="2" t="s">
        <v>290</v>
      </c>
      <c r="B100" s="63" t="s">
        <v>238</v>
      </c>
      <c r="C100" s="63" t="s">
        <v>472</v>
      </c>
      <c r="D100" s="63" t="s">
        <v>394</v>
      </c>
      <c r="E100" s="2">
        <v>1262</v>
      </c>
    </row>
    <row r="101" spans="1:5" x14ac:dyDescent="0.25">
      <c r="A101" s="2" t="s">
        <v>290</v>
      </c>
      <c r="B101" s="63" t="s">
        <v>245</v>
      </c>
      <c r="C101" s="63" t="s">
        <v>420</v>
      </c>
      <c r="D101" s="63" t="s">
        <v>473</v>
      </c>
      <c r="E101" s="2">
        <v>30</v>
      </c>
    </row>
    <row r="102" spans="1:5" x14ac:dyDescent="0.25">
      <c r="A102" s="2" t="s">
        <v>290</v>
      </c>
      <c r="B102" s="63" t="s">
        <v>245</v>
      </c>
      <c r="C102" s="63" t="s">
        <v>423</v>
      </c>
      <c r="D102" s="63" t="s">
        <v>395</v>
      </c>
      <c r="E102" s="2">
        <v>-6279</v>
      </c>
    </row>
    <row r="103" spans="1:5" x14ac:dyDescent="0.25">
      <c r="A103" s="2" t="s">
        <v>290</v>
      </c>
      <c r="B103" s="63" t="s">
        <v>245</v>
      </c>
      <c r="C103" s="63" t="s">
        <v>432</v>
      </c>
      <c r="D103" s="63" t="s">
        <v>394</v>
      </c>
      <c r="E103" s="2">
        <v>2211</v>
      </c>
    </row>
    <row r="104" spans="1:5" x14ac:dyDescent="0.25">
      <c r="A104" s="2" t="s">
        <v>290</v>
      </c>
      <c r="B104" s="63" t="s">
        <v>245</v>
      </c>
      <c r="C104" s="63" t="s">
        <v>434</v>
      </c>
      <c r="D104" s="63" t="s">
        <v>394</v>
      </c>
      <c r="E104" s="2">
        <v>1480</v>
      </c>
    </row>
    <row r="105" spans="1:5" x14ac:dyDescent="0.25">
      <c r="A105" s="2" t="s">
        <v>290</v>
      </c>
      <c r="B105" s="63" t="s">
        <v>245</v>
      </c>
      <c r="C105" s="63" t="s">
        <v>435</v>
      </c>
      <c r="D105" s="63" t="s">
        <v>394</v>
      </c>
      <c r="E105" s="2">
        <v>1284</v>
      </c>
    </row>
    <row r="106" spans="1:5" x14ac:dyDescent="0.25">
      <c r="A106" s="2" t="s">
        <v>290</v>
      </c>
      <c r="B106" s="63" t="s">
        <v>245</v>
      </c>
      <c r="C106" s="63" t="s">
        <v>436</v>
      </c>
      <c r="D106" s="63" t="s">
        <v>394</v>
      </c>
      <c r="E106" s="2">
        <v>783</v>
      </c>
    </row>
    <row r="107" spans="1:5" x14ac:dyDescent="0.25">
      <c r="A107" s="2" t="s">
        <v>290</v>
      </c>
      <c r="B107" s="63" t="s">
        <v>272</v>
      </c>
      <c r="C107" s="63" t="s">
        <v>446</v>
      </c>
      <c r="D107" s="63" t="s">
        <v>394</v>
      </c>
      <c r="E107" s="2">
        <v>-15991</v>
      </c>
    </row>
    <row r="108" spans="1:5" x14ac:dyDescent="0.25">
      <c r="A108" s="2" t="s">
        <v>290</v>
      </c>
      <c r="B108" s="63" t="s">
        <v>272</v>
      </c>
      <c r="C108" s="63" t="s">
        <v>446</v>
      </c>
      <c r="D108" s="63" t="s">
        <v>401</v>
      </c>
      <c r="E108" s="2">
        <v>-151999</v>
      </c>
    </row>
    <row r="109" spans="1:5" x14ac:dyDescent="0.25">
      <c r="A109" s="2" t="s">
        <v>290</v>
      </c>
      <c r="B109" s="63" t="s">
        <v>272</v>
      </c>
      <c r="C109" s="63" t="s">
        <v>446</v>
      </c>
      <c r="D109" s="63" t="s">
        <v>402</v>
      </c>
      <c r="E109" s="2">
        <v>-1794</v>
      </c>
    </row>
    <row r="110" spans="1:5" x14ac:dyDescent="0.25">
      <c r="A110" s="2" t="s">
        <v>290</v>
      </c>
      <c r="B110" s="63" t="s">
        <v>272</v>
      </c>
      <c r="C110" s="63" t="s">
        <v>474</v>
      </c>
      <c r="D110" s="63" t="s">
        <v>394</v>
      </c>
      <c r="E110" s="2">
        <v>1258</v>
      </c>
    </row>
    <row r="111" spans="1:5" x14ac:dyDescent="0.25">
      <c r="A111" s="2" t="s">
        <v>290</v>
      </c>
      <c r="B111" s="63" t="s">
        <v>272</v>
      </c>
      <c r="C111" s="63" t="s">
        <v>475</v>
      </c>
      <c r="D111" s="63" t="s">
        <v>394</v>
      </c>
      <c r="E111" s="2">
        <v>374</v>
      </c>
    </row>
    <row r="112" spans="1:5" x14ac:dyDescent="0.25">
      <c r="A112" s="2" t="s">
        <v>290</v>
      </c>
      <c r="B112" s="63" t="s">
        <v>285</v>
      </c>
      <c r="C112" s="63" t="s">
        <v>476</v>
      </c>
      <c r="D112" s="63" t="s">
        <v>394</v>
      </c>
      <c r="E112" s="2">
        <v>1279</v>
      </c>
    </row>
    <row r="113" spans="1:5" x14ac:dyDescent="0.25">
      <c r="A113" s="2" t="s">
        <v>290</v>
      </c>
      <c r="B113" s="63" t="s">
        <v>285</v>
      </c>
      <c r="C113" s="63" t="s">
        <v>477</v>
      </c>
      <c r="D113" s="63" t="s">
        <v>394</v>
      </c>
      <c r="E113" s="2">
        <v>247</v>
      </c>
    </row>
    <row r="114" spans="1:5" x14ac:dyDescent="0.25">
      <c r="A114" s="2" t="s">
        <v>290</v>
      </c>
      <c r="B114" s="63" t="s">
        <v>285</v>
      </c>
      <c r="C114" s="63" t="s">
        <v>478</v>
      </c>
      <c r="D114" s="63" t="s">
        <v>394</v>
      </c>
      <c r="E114" s="2">
        <v>11792</v>
      </c>
    </row>
    <row r="115" spans="1:5" x14ac:dyDescent="0.25">
      <c r="A115" s="2" t="s">
        <v>290</v>
      </c>
      <c r="B115" s="63" t="s">
        <v>285</v>
      </c>
      <c r="C115" s="63" t="s">
        <v>450</v>
      </c>
      <c r="D115" s="63" t="s">
        <v>451</v>
      </c>
      <c r="E115" s="2">
        <v>1853</v>
      </c>
    </row>
    <row r="116" spans="1:5" x14ac:dyDescent="0.25">
      <c r="A116" s="2" t="s">
        <v>290</v>
      </c>
      <c r="B116" s="63" t="s">
        <v>285</v>
      </c>
      <c r="C116" s="63" t="s">
        <v>452</v>
      </c>
      <c r="D116" s="63" t="s">
        <v>394</v>
      </c>
      <c r="E116" s="2">
        <v>12988</v>
      </c>
    </row>
    <row r="117" spans="1:5" x14ac:dyDescent="0.25">
      <c r="A117" s="2" t="s">
        <v>290</v>
      </c>
      <c r="B117" s="63" t="s">
        <v>288</v>
      </c>
      <c r="C117" s="63" t="s">
        <v>479</v>
      </c>
      <c r="D117" s="63" t="s">
        <v>394</v>
      </c>
      <c r="E117" s="2">
        <v>317537</v>
      </c>
    </row>
    <row r="118" spans="1:5" x14ac:dyDescent="0.25">
      <c r="A118" s="2" t="s">
        <v>290</v>
      </c>
      <c r="B118" s="63" t="s">
        <v>288</v>
      </c>
      <c r="C118" s="63" t="s">
        <v>480</v>
      </c>
      <c r="D118" s="63" t="s">
        <v>394</v>
      </c>
      <c r="E118" s="2">
        <v>141193</v>
      </c>
    </row>
    <row r="119" spans="1:5" x14ac:dyDescent="0.25">
      <c r="A119" s="2" t="s">
        <v>290</v>
      </c>
      <c r="B119" s="63" t="s">
        <v>288</v>
      </c>
      <c r="C119" s="63" t="s">
        <v>481</v>
      </c>
      <c r="D119" s="63" t="s">
        <v>394</v>
      </c>
      <c r="E119" s="2">
        <v>70949</v>
      </c>
    </row>
    <row r="120" spans="1:5" x14ac:dyDescent="0.25">
      <c r="A120" s="2" t="s">
        <v>290</v>
      </c>
      <c r="B120" s="63" t="s">
        <v>288</v>
      </c>
      <c r="C120" s="63" t="s">
        <v>310</v>
      </c>
      <c r="D120" s="63" t="s">
        <v>394</v>
      </c>
      <c r="E120" s="2">
        <v>85514</v>
      </c>
    </row>
    <row r="121" spans="1:5" x14ac:dyDescent="0.25">
      <c r="A121" s="2" t="s">
        <v>290</v>
      </c>
      <c r="B121" s="63" t="s">
        <v>288</v>
      </c>
      <c r="C121" s="63" t="s">
        <v>482</v>
      </c>
      <c r="D121" s="63" t="s">
        <v>394</v>
      </c>
      <c r="E121" s="2">
        <v>239253</v>
      </c>
    </row>
    <row r="122" spans="1:5" x14ac:dyDescent="0.25">
      <c r="A122" s="2" t="s">
        <v>290</v>
      </c>
      <c r="B122" s="63" t="s">
        <v>288</v>
      </c>
      <c r="C122" s="63" t="s">
        <v>483</v>
      </c>
      <c r="D122" s="63" t="s">
        <v>394</v>
      </c>
      <c r="E122" s="2">
        <v>37677</v>
      </c>
    </row>
    <row r="123" spans="1:5" x14ac:dyDescent="0.25">
      <c r="A123" s="2" t="s">
        <v>290</v>
      </c>
      <c r="B123" s="63" t="s">
        <v>161</v>
      </c>
      <c r="C123" s="63" t="s">
        <v>484</v>
      </c>
      <c r="D123" s="63" t="s">
        <v>394</v>
      </c>
      <c r="E123" s="2">
        <v>0</v>
      </c>
    </row>
    <row r="124" spans="1:5" x14ac:dyDescent="0.25">
      <c r="A124" s="2" t="s">
        <v>290</v>
      </c>
      <c r="B124" s="63" t="s">
        <v>161</v>
      </c>
      <c r="C124" s="63" t="s">
        <v>485</v>
      </c>
      <c r="D124" s="63" t="s">
        <v>394</v>
      </c>
      <c r="E124" s="2">
        <v>398</v>
      </c>
    </row>
    <row r="125" spans="1:5" x14ac:dyDescent="0.25">
      <c r="B125" s="63"/>
      <c r="C125" s="63"/>
      <c r="D125" s="63"/>
      <c r="E125" s="64">
        <f>SUM(E81:E124)</f>
        <v>1090632</v>
      </c>
    </row>
    <row r="126" spans="1:5" x14ac:dyDescent="0.25">
      <c r="B126" s="63"/>
      <c r="C126" s="63"/>
      <c r="D126" s="63"/>
      <c r="E126" s="2"/>
    </row>
    <row r="127" spans="1:5" x14ac:dyDescent="0.25">
      <c r="A127" s="2" t="s">
        <v>297</v>
      </c>
      <c r="B127" s="63" t="s">
        <v>288</v>
      </c>
      <c r="C127" s="63" t="s">
        <v>486</v>
      </c>
      <c r="D127" s="63" t="s">
        <v>399</v>
      </c>
      <c r="E127" s="2">
        <v>160361</v>
      </c>
    </row>
    <row r="128" spans="1:5" x14ac:dyDescent="0.25">
      <c r="B128" s="63"/>
      <c r="C128" s="63"/>
      <c r="D128" s="63"/>
      <c r="E128" s="2"/>
    </row>
    <row r="129" spans="1:5" x14ac:dyDescent="0.25">
      <c r="A129" s="2" t="s">
        <v>300</v>
      </c>
      <c r="B129" s="63" t="s">
        <v>238</v>
      </c>
      <c r="C129" s="63" t="s">
        <v>311</v>
      </c>
      <c r="D129" s="63" t="s">
        <v>301</v>
      </c>
      <c r="E129" s="2">
        <v>17309</v>
      </c>
    </row>
    <row r="130" spans="1:5" x14ac:dyDescent="0.25">
      <c r="B130" s="63"/>
      <c r="C130" s="63"/>
      <c r="D130" s="63"/>
      <c r="E130" s="2"/>
    </row>
    <row r="131" spans="1:5" x14ac:dyDescent="0.25">
      <c r="A131" s="2" t="s">
        <v>303</v>
      </c>
      <c r="B131" s="63" t="s">
        <v>245</v>
      </c>
      <c r="C131" s="63" t="s">
        <v>487</v>
      </c>
      <c r="D131" s="63" t="s">
        <v>394</v>
      </c>
      <c r="E131" s="2">
        <v>169667</v>
      </c>
    </row>
    <row r="132" spans="1:5" x14ac:dyDescent="0.25">
      <c r="A132" s="2" t="s">
        <v>303</v>
      </c>
      <c r="B132" s="63" t="s">
        <v>245</v>
      </c>
      <c r="C132" s="63" t="s">
        <v>487</v>
      </c>
      <c r="D132" s="63" t="s">
        <v>488</v>
      </c>
      <c r="E132" s="2">
        <v>1272</v>
      </c>
    </row>
    <row r="133" spans="1:5" x14ac:dyDescent="0.25">
      <c r="A133" s="2" t="s">
        <v>303</v>
      </c>
      <c r="B133" s="63" t="s">
        <v>245</v>
      </c>
      <c r="C133" s="63" t="s">
        <v>487</v>
      </c>
      <c r="D133" s="63" t="s">
        <v>489</v>
      </c>
      <c r="E133" s="2">
        <v>121260</v>
      </c>
    </row>
    <row r="134" spans="1:5" x14ac:dyDescent="0.25">
      <c r="A134" s="2" t="s">
        <v>303</v>
      </c>
      <c r="B134" s="63" t="s">
        <v>245</v>
      </c>
      <c r="C134" s="63" t="s">
        <v>487</v>
      </c>
      <c r="D134" s="63" t="s">
        <v>490</v>
      </c>
      <c r="E134" s="154">
        <v>139906</v>
      </c>
    </row>
    <row r="135" spans="1:5" x14ac:dyDescent="0.25">
      <c r="E135" s="2">
        <f>SUM(E131:E134)</f>
        <v>432105</v>
      </c>
    </row>
  </sheetData>
  <mergeCells count="1">
    <mergeCell ref="B5:J5"/>
  </mergeCells>
  <printOptions horizontalCentered="1"/>
  <pageMargins left="0.75" right="0.75" top="0.5" bottom="0.5" header="0.3" footer="0.3"/>
  <pageSetup scale="88" fitToHeight="0" orientation="landscape" r:id="rId1"/>
  <headerFooter>
    <oddFooter>&amp;L&amp;8&amp;D&amp;C&amp;8&amp;P&amp;R&amp;8&amp;F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BB1E7-FBEB-4D4B-ACE6-FAC748BD9842}">
  <sheetPr>
    <tabColor theme="2"/>
  </sheetPr>
  <dimension ref="A1"/>
  <sheetViews>
    <sheetView workbookViewId="0"/>
  </sheetViews>
  <sheetFormatPr defaultRowHeight="15" x14ac:dyDescent="0.25"/>
  <cols>
    <col min="1" max="1" width="9" customWidth="1"/>
  </cols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7125B-6534-4D98-9410-01FA5D3D87F6}">
  <sheetPr>
    <tabColor rgb="FFFFC000"/>
    <pageSetUpPr fitToPage="1"/>
  </sheetPr>
  <dimension ref="A1:E19"/>
  <sheetViews>
    <sheetView workbookViewId="0"/>
  </sheetViews>
  <sheetFormatPr defaultColWidth="8.85546875" defaultRowHeight="15" x14ac:dyDescent="0.25"/>
  <cols>
    <col min="1" max="1" width="26.28515625" style="2" customWidth="1"/>
    <col min="2" max="2" width="14" style="1" bestFit="1" customWidth="1"/>
    <col min="3" max="3" width="14.28515625" style="1" customWidth="1"/>
    <col min="4" max="4" width="14.5703125" style="1" customWidth="1"/>
    <col min="5" max="5" width="15" style="1" customWidth="1"/>
    <col min="6" max="17" width="14" style="2" customWidth="1"/>
    <col min="18" max="16384" width="8.85546875" style="2"/>
  </cols>
  <sheetData>
    <row r="1" spans="1:5" ht="25.9" customHeight="1" x14ac:dyDescent="0.3">
      <c r="A1" s="3"/>
    </row>
    <row r="2" spans="1:5" ht="25.9" customHeight="1" x14ac:dyDescent="0.3">
      <c r="A2" s="3"/>
      <c r="E2" s="6" t="e">
        <f>+#REF!</f>
        <v>#REF!</v>
      </c>
    </row>
    <row r="3" spans="1:5" ht="18.75" customHeight="1" x14ac:dyDescent="0.3">
      <c r="A3" s="3" t="s">
        <v>312</v>
      </c>
    </row>
    <row r="4" spans="1:5" ht="20.100000000000001" customHeight="1" x14ac:dyDescent="0.25">
      <c r="A4" s="17" t="e">
        <f>+#REF!</f>
        <v>#REF!</v>
      </c>
    </row>
    <row r="5" spans="1:5" x14ac:dyDescent="0.25">
      <c r="B5" s="157"/>
      <c r="C5" s="157"/>
      <c r="D5" s="157"/>
      <c r="E5" s="157"/>
    </row>
    <row r="6" spans="1:5" x14ac:dyDescent="0.25">
      <c r="E6" s="19"/>
    </row>
    <row r="7" spans="1:5" ht="15.75" thickBot="1" x14ac:dyDescent="0.3">
      <c r="A7" s="4"/>
      <c r="B7" s="5"/>
      <c r="C7" s="5"/>
      <c r="D7" s="5"/>
      <c r="E7" s="20"/>
    </row>
    <row r="8" spans="1:5" ht="19.149999999999999" customHeight="1" x14ac:dyDescent="0.25">
      <c r="A8" s="14"/>
      <c r="B8" s="16"/>
      <c r="C8" s="16"/>
      <c r="D8" s="15"/>
      <c r="E8" s="21"/>
    </row>
    <row r="9" spans="1:5" ht="19.149999999999999" customHeight="1" x14ac:dyDescent="0.25">
      <c r="A9" s="2" t="s">
        <v>9</v>
      </c>
      <c r="B9" s="7"/>
      <c r="C9" s="7"/>
      <c r="D9" s="7"/>
      <c r="E9" s="22"/>
    </row>
    <row r="10" spans="1:5" ht="19.149999999999999" customHeight="1" x14ac:dyDescent="0.25">
      <c r="A10" s="2" t="s">
        <v>10</v>
      </c>
      <c r="B10" s="7"/>
      <c r="C10" s="7"/>
      <c r="D10" s="7"/>
      <c r="E10" s="22"/>
    </row>
    <row r="11" spans="1:5" ht="19.149999999999999" customHeight="1" x14ac:dyDescent="0.25">
      <c r="A11" s="2" t="s">
        <v>11</v>
      </c>
      <c r="B11" s="7"/>
      <c r="C11" s="7"/>
      <c r="D11" s="7"/>
      <c r="E11" s="22"/>
    </row>
    <row r="12" spans="1:5" ht="19.149999999999999" customHeight="1" x14ac:dyDescent="0.25">
      <c r="A12" s="2" t="s">
        <v>313</v>
      </c>
      <c r="B12" s="7"/>
      <c r="C12" s="7"/>
      <c r="D12" s="7"/>
      <c r="E12" s="22"/>
    </row>
    <row r="13" spans="1:5" ht="19.149999999999999" customHeight="1" x14ac:dyDescent="0.25">
      <c r="A13" s="2" t="s">
        <v>13</v>
      </c>
      <c r="B13" s="7"/>
      <c r="C13" s="7"/>
      <c r="D13" s="7"/>
      <c r="E13" s="22"/>
    </row>
    <row r="14" spans="1:5" ht="19.149999999999999" customHeight="1" x14ac:dyDescent="0.25">
      <c r="A14" s="2" t="s">
        <v>14</v>
      </c>
      <c r="B14" s="7"/>
      <c r="C14" s="7"/>
      <c r="D14" s="7"/>
      <c r="E14" s="22"/>
    </row>
    <row r="15" spans="1:5" ht="19.149999999999999" customHeight="1" x14ac:dyDescent="0.25">
      <c r="A15" s="9" t="s">
        <v>15</v>
      </c>
      <c r="B15" s="8">
        <f t="shared" ref="B15:E15" si="0">SUM(B9:B14)</f>
        <v>0</v>
      </c>
      <c r="C15" s="8">
        <f t="shared" si="0"/>
        <v>0</v>
      </c>
      <c r="D15" s="8">
        <f t="shared" si="0"/>
        <v>0</v>
      </c>
      <c r="E15" s="23">
        <f t="shared" si="0"/>
        <v>0</v>
      </c>
    </row>
    <row r="16" spans="1:5" ht="19.149999999999999" customHeight="1" x14ac:dyDescent="0.25">
      <c r="A16" s="2" t="s">
        <v>16</v>
      </c>
      <c r="B16" s="18"/>
      <c r="D16" s="7"/>
      <c r="E16" s="22"/>
    </row>
    <row r="17" spans="1:5" ht="19.149999999999999" customHeight="1" x14ac:dyDescent="0.25">
      <c r="A17" s="2" t="s">
        <v>17</v>
      </c>
      <c r="B17" s="7"/>
      <c r="C17" s="7"/>
      <c r="D17" s="7"/>
      <c r="E17" s="22"/>
    </row>
    <row r="18" spans="1:5" ht="15" customHeight="1" thickBot="1" x14ac:dyDescent="0.3">
      <c r="A18" s="10" t="s">
        <v>18</v>
      </c>
      <c r="B18" s="11">
        <f t="shared" ref="B18:E18" si="1">SUM(B15:B17)</f>
        <v>0</v>
      </c>
      <c r="C18" s="11">
        <f t="shared" si="1"/>
        <v>0</v>
      </c>
      <c r="D18" s="11">
        <f t="shared" si="1"/>
        <v>0</v>
      </c>
      <c r="E18" s="24">
        <f t="shared" si="1"/>
        <v>0</v>
      </c>
    </row>
    <row r="19" spans="1:5" ht="15" customHeight="1" x14ac:dyDescent="0.25">
      <c r="A19" s="12"/>
      <c r="B19" s="12"/>
      <c r="C19" s="13"/>
      <c r="D19" s="13"/>
      <c r="E19" s="13"/>
    </row>
  </sheetData>
  <mergeCells count="1">
    <mergeCell ref="B5:E5"/>
  </mergeCells>
  <printOptions horizontalCentered="1"/>
  <pageMargins left="0.75" right="0.75" top="0.5" bottom="0.5" header="0.3" footer="0.3"/>
  <pageSetup orientation="landscape" r:id="rId1"/>
  <headerFooter>
    <oddFooter>&amp;L&amp;8&amp;D&amp;R&amp;8&amp;F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25EF9-BBA1-45D6-B3B2-E1564A44D920}">
  <sheetPr>
    <tabColor rgb="FFFFC000"/>
    <pageSetUpPr fitToPage="1"/>
  </sheetPr>
  <dimension ref="A1:G38"/>
  <sheetViews>
    <sheetView topLeftCell="A2" workbookViewId="0"/>
  </sheetViews>
  <sheetFormatPr defaultColWidth="8.85546875" defaultRowHeight="15" x14ac:dyDescent="0.25"/>
  <cols>
    <col min="1" max="1" width="31" style="2" customWidth="1"/>
    <col min="2" max="3" width="15.140625" style="1" customWidth="1"/>
    <col min="4" max="4" width="14.28515625" style="1" customWidth="1"/>
    <col min="5" max="7" width="15.7109375" style="1" customWidth="1"/>
    <col min="8" max="19" width="14" style="2" customWidth="1"/>
    <col min="20" max="16384" width="8.85546875" style="2"/>
  </cols>
  <sheetData>
    <row r="1" spans="1:7" ht="25.9" customHeight="1" x14ac:dyDescent="0.4">
      <c r="A1" s="3"/>
      <c r="G1" s="26"/>
    </row>
    <row r="2" spans="1:7" ht="25.9" customHeight="1" x14ac:dyDescent="0.3">
      <c r="A2" s="3"/>
    </row>
    <row r="3" spans="1:7" ht="18.75" customHeight="1" x14ac:dyDescent="0.3">
      <c r="A3" s="3" t="s">
        <v>338</v>
      </c>
      <c r="G3" s="6" t="str">
        <f>+'Attachment A - Base'!K3</f>
        <v>BPA #26-01</v>
      </c>
    </row>
    <row r="4" spans="1:7" ht="20.100000000000001" customHeight="1" x14ac:dyDescent="0.25">
      <c r="A4" s="17">
        <f>+'Attachment A - Base'!A4</f>
        <v>46240</v>
      </c>
    </row>
    <row r="5" spans="1:7" x14ac:dyDescent="0.25">
      <c r="B5" s="157"/>
      <c r="C5" s="157"/>
      <c r="D5" s="157"/>
      <c r="E5" s="157"/>
      <c r="F5" s="157"/>
      <c r="G5" s="157"/>
    </row>
    <row r="6" spans="1:7" x14ac:dyDescent="0.25">
      <c r="D6" s="19"/>
      <c r="E6" s="2"/>
      <c r="F6" s="2"/>
      <c r="G6" s="2"/>
    </row>
    <row r="7" spans="1:7" ht="60.75" thickBot="1" x14ac:dyDescent="0.3">
      <c r="A7" s="4"/>
      <c r="B7" s="5" t="s">
        <v>19</v>
      </c>
      <c r="C7" s="145" t="s">
        <v>540</v>
      </c>
      <c r="D7" s="20" t="s">
        <v>337</v>
      </c>
      <c r="E7" s="2"/>
      <c r="F7" s="2"/>
      <c r="G7" s="2"/>
    </row>
    <row r="8" spans="1:7" ht="19.149999999999999" customHeight="1" x14ac:dyDescent="0.25">
      <c r="A8" s="14"/>
      <c r="B8" s="16"/>
      <c r="C8" s="32" t="s">
        <v>531</v>
      </c>
      <c r="D8" s="21"/>
      <c r="E8" s="2"/>
      <c r="F8" s="2"/>
      <c r="G8" s="2"/>
    </row>
    <row r="9" spans="1:7" ht="19.149999999999999" customHeight="1" x14ac:dyDescent="0.25">
      <c r="A9" s="2" t="s">
        <v>9</v>
      </c>
      <c r="B9" s="56">
        <v>101311</v>
      </c>
      <c r="C9" s="56">
        <f>+'Attachment G - Transfers'!K9</f>
        <v>-101311</v>
      </c>
      <c r="D9" s="22">
        <f>SUM(B9:C9)</f>
        <v>0</v>
      </c>
      <c r="E9" s="2"/>
      <c r="F9" s="2"/>
      <c r="G9" s="2"/>
    </row>
    <row r="10" spans="1:7" ht="19.149999999999999" customHeight="1" x14ac:dyDescent="0.25">
      <c r="A10" s="2" t="s">
        <v>10</v>
      </c>
      <c r="B10" s="56">
        <v>15147974</v>
      </c>
      <c r="C10" s="56">
        <f>+'Attachment G - Transfers'!K10</f>
        <v>-470784</v>
      </c>
      <c r="D10" s="22">
        <f t="shared" ref="D10:D16" si="0">SUM(B10:C10)</f>
        <v>14677190</v>
      </c>
      <c r="E10" s="2"/>
      <c r="F10" s="2"/>
      <c r="G10" s="2"/>
    </row>
    <row r="11" spans="1:7" ht="19.149999999999999" customHeight="1" x14ac:dyDescent="0.25">
      <c r="A11" s="2" t="s">
        <v>11</v>
      </c>
      <c r="B11" s="56" t="s">
        <v>20</v>
      </c>
      <c r="C11" s="56">
        <f>+'Attachment G - Transfers'!K11</f>
        <v>0</v>
      </c>
      <c r="D11" s="22">
        <f t="shared" si="0"/>
        <v>0</v>
      </c>
      <c r="E11" s="2"/>
      <c r="F11" s="2"/>
      <c r="G11" s="2"/>
    </row>
    <row r="12" spans="1:7" ht="19.149999999999999" customHeight="1" x14ac:dyDescent="0.25">
      <c r="A12" s="2" t="s">
        <v>12</v>
      </c>
      <c r="B12" s="56">
        <v>112304</v>
      </c>
      <c r="C12" s="56">
        <f>+'Attachment G - Transfers'!K12</f>
        <v>0</v>
      </c>
      <c r="D12" s="22">
        <f t="shared" si="0"/>
        <v>112304</v>
      </c>
      <c r="E12" s="2"/>
      <c r="F12" s="2"/>
      <c r="G12" s="2"/>
    </row>
    <row r="13" spans="1:7" ht="19.149999999999999" customHeight="1" x14ac:dyDescent="0.25">
      <c r="A13" s="2" t="s">
        <v>13</v>
      </c>
      <c r="B13" s="56">
        <f>4904714-31000</f>
        <v>4873714</v>
      </c>
      <c r="C13" s="56">
        <f>+'Attachment G - Transfers'!K13</f>
        <v>0</v>
      </c>
      <c r="D13" s="22">
        <f t="shared" si="0"/>
        <v>4873714</v>
      </c>
      <c r="E13" s="2"/>
      <c r="F13" s="2"/>
      <c r="G13" s="2"/>
    </row>
    <row r="14" spans="1:7" ht="19.149999999999999" customHeight="1" x14ac:dyDescent="0.25">
      <c r="A14" s="2" t="s">
        <v>14</v>
      </c>
      <c r="B14" s="56" t="s">
        <v>20</v>
      </c>
      <c r="C14" s="56">
        <f>+'Attachment G - Transfers'!K14</f>
        <v>0</v>
      </c>
      <c r="D14" s="22">
        <f t="shared" ref="D14:D15" si="1">SUM(B14:C14)</f>
        <v>0</v>
      </c>
      <c r="E14" s="2"/>
      <c r="F14" s="2"/>
      <c r="G14" s="2"/>
    </row>
    <row r="15" spans="1:7" ht="19.149999999999999" customHeight="1" x14ac:dyDescent="0.25">
      <c r="A15" s="2" t="s">
        <v>507</v>
      </c>
      <c r="B15" s="56" t="s">
        <v>20</v>
      </c>
      <c r="C15" s="56">
        <f>+'Attachment G - Transfers'!K15</f>
        <v>572095</v>
      </c>
      <c r="D15" s="22">
        <f t="shared" si="1"/>
        <v>572095</v>
      </c>
      <c r="E15" s="2"/>
      <c r="F15" s="2"/>
      <c r="G15" s="2"/>
    </row>
    <row r="16" spans="1:7" ht="19.149999999999999" customHeight="1" x14ac:dyDescent="0.25">
      <c r="A16" s="2" t="s">
        <v>508</v>
      </c>
      <c r="B16" s="56" t="s">
        <v>20</v>
      </c>
      <c r="C16" s="56">
        <f>+'Attachment G - Transfers'!K16</f>
        <v>0</v>
      </c>
      <c r="D16" s="22">
        <f t="shared" si="0"/>
        <v>0</v>
      </c>
      <c r="E16" s="2"/>
      <c r="F16" s="2"/>
      <c r="G16" s="2"/>
    </row>
    <row r="17" spans="1:7" ht="19.149999999999999" customHeight="1" x14ac:dyDescent="0.25">
      <c r="A17" s="9" t="s">
        <v>15</v>
      </c>
      <c r="B17" s="8">
        <f t="shared" ref="B17:D17" si="2">SUM(B9:B16)</f>
        <v>20235303</v>
      </c>
      <c r="C17" s="8">
        <f t="shared" si="2"/>
        <v>0</v>
      </c>
      <c r="D17" s="23">
        <f t="shared" si="2"/>
        <v>20235303</v>
      </c>
      <c r="E17" s="2"/>
      <c r="F17" s="2"/>
      <c r="G17" s="2"/>
    </row>
    <row r="18" spans="1:7" ht="19.149999999999999" customHeight="1" x14ac:dyDescent="0.25">
      <c r="A18" s="2" t="s">
        <v>16</v>
      </c>
      <c r="B18" s="113"/>
      <c r="C18" s="55"/>
      <c r="D18" s="22">
        <f>SUM(B18:C18)</f>
        <v>0</v>
      </c>
      <c r="E18" s="2"/>
      <c r="F18" s="2"/>
      <c r="G18" s="2"/>
    </row>
    <row r="19" spans="1:7" ht="19.149999999999999" customHeight="1" x14ac:dyDescent="0.25">
      <c r="A19" s="2" t="s">
        <v>556</v>
      </c>
      <c r="B19" s="73"/>
      <c r="C19" s="56"/>
      <c r="D19" s="22">
        <f>SUM(B19:C19)</f>
        <v>0</v>
      </c>
      <c r="E19" s="2"/>
      <c r="F19" s="2"/>
      <c r="G19" s="2"/>
    </row>
    <row r="20" spans="1:7" ht="19.149999999999999" customHeight="1" x14ac:dyDescent="0.25">
      <c r="A20" s="2" t="s">
        <v>17</v>
      </c>
      <c r="B20" s="73">
        <f>7979497</f>
        <v>7979497</v>
      </c>
      <c r="C20" s="56"/>
      <c r="D20" s="22">
        <f>SUM(B20:C20)</f>
        <v>7979497</v>
      </c>
      <c r="E20" s="2"/>
      <c r="F20" s="2"/>
      <c r="G20" s="2"/>
    </row>
    <row r="21" spans="1:7" ht="15" customHeight="1" thickBot="1" x14ac:dyDescent="0.3">
      <c r="A21" s="10" t="s">
        <v>18</v>
      </c>
      <c r="B21" s="11">
        <f t="shared" ref="B21:D21" si="3">SUM(B17:B20)</f>
        <v>28214800</v>
      </c>
      <c r="C21" s="11">
        <f t="shared" si="3"/>
        <v>0</v>
      </c>
      <c r="D21" s="24">
        <f t="shared" si="3"/>
        <v>28214800</v>
      </c>
      <c r="E21" s="2"/>
      <c r="F21" s="2"/>
      <c r="G21" s="2"/>
    </row>
    <row r="22" spans="1:7" ht="15" customHeight="1" x14ac:dyDescent="0.25">
      <c r="A22" s="12"/>
      <c r="B22" s="12"/>
      <c r="C22" s="13"/>
      <c r="D22" s="13"/>
      <c r="E22" s="13"/>
      <c r="F22" s="13"/>
      <c r="G22" s="13"/>
    </row>
    <row r="23" spans="1:7" x14ac:dyDescent="0.25">
      <c r="A23" s="2" t="s">
        <v>21</v>
      </c>
    </row>
    <row r="25" spans="1:7" x14ac:dyDescent="0.25">
      <c r="A25" s="57" t="s">
        <v>22</v>
      </c>
      <c r="B25" s="58" t="s">
        <v>23</v>
      </c>
      <c r="C25" s="58" t="s">
        <v>24</v>
      </c>
      <c r="D25" s="58" t="s">
        <v>12</v>
      </c>
      <c r="E25" s="58" t="s">
        <v>25</v>
      </c>
      <c r="F25" s="58" t="s">
        <v>517</v>
      </c>
      <c r="G25" s="58" t="s">
        <v>26</v>
      </c>
    </row>
    <row r="26" spans="1:7" x14ac:dyDescent="0.25">
      <c r="A26" s="59"/>
      <c r="B26" s="60" t="s">
        <v>27</v>
      </c>
      <c r="C26" s="60" t="s">
        <v>28</v>
      </c>
      <c r="D26" s="60"/>
      <c r="E26" s="60" t="s">
        <v>28</v>
      </c>
      <c r="F26" s="60" t="s">
        <v>518</v>
      </c>
      <c r="G26" s="60"/>
    </row>
    <row r="27" spans="1:7" x14ac:dyDescent="0.25">
      <c r="A27" s="33" t="s">
        <v>29</v>
      </c>
      <c r="B27" s="18"/>
      <c r="C27" s="18">
        <v>614090</v>
      </c>
      <c r="D27" s="18"/>
      <c r="E27" s="18"/>
      <c r="F27" s="18"/>
      <c r="G27" s="136">
        <f t="shared" ref="G27:G29" si="4">SUM(B27:F27)</f>
        <v>614090</v>
      </c>
    </row>
    <row r="28" spans="1:7" x14ac:dyDescent="0.25">
      <c r="A28" s="33" t="s">
        <v>30</v>
      </c>
      <c r="B28" s="18"/>
      <c r="C28" s="18"/>
      <c r="D28" s="18"/>
      <c r="E28" s="18">
        <v>508908</v>
      </c>
      <c r="F28" s="18"/>
      <c r="G28" s="136">
        <f t="shared" si="4"/>
        <v>508908</v>
      </c>
    </row>
    <row r="29" spans="1:7" x14ac:dyDescent="0.25">
      <c r="A29" s="33" t="s">
        <v>31</v>
      </c>
      <c r="B29" s="18"/>
      <c r="C29" s="18">
        <v>166360</v>
      </c>
      <c r="D29" s="18"/>
      <c r="E29" s="18"/>
      <c r="F29" s="18"/>
      <c r="G29" s="136">
        <f t="shared" si="4"/>
        <v>166360</v>
      </c>
    </row>
    <row r="30" spans="1:7" x14ac:dyDescent="0.25">
      <c r="A30" s="33" t="s">
        <v>32</v>
      </c>
      <c r="B30" s="155"/>
      <c r="C30" s="18"/>
      <c r="D30" s="18"/>
      <c r="E30" s="18">
        <v>144000</v>
      </c>
      <c r="F30" s="18">
        <v>101311</v>
      </c>
      <c r="G30" s="136">
        <f>SUM(B30:F30)</f>
        <v>245311</v>
      </c>
    </row>
    <row r="31" spans="1:7" x14ac:dyDescent="0.25">
      <c r="A31" s="33" t="s">
        <v>33</v>
      </c>
      <c r="B31" s="18"/>
      <c r="C31" s="18"/>
      <c r="D31" s="18"/>
      <c r="E31" s="18">
        <v>858000</v>
      </c>
      <c r="F31" s="18"/>
      <c r="G31" s="136">
        <f t="shared" ref="G31:G37" si="5">SUM(B31:F31)</f>
        <v>858000</v>
      </c>
    </row>
    <row r="32" spans="1:7" x14ac:dyDescent="0.25">
      <c r="A32" s="33" t="s">
        <v>34</v>
      </c>
      <c r="B32" s="18"/>
      <c r="C32" s="18"/>
      <c r="D32" s="18"/>
      <c r="E32" s="18">
        <v>357000</v>
      </c>
      <c r="F32" s="18"/>
      <c r="G32" s="136">
        <f t="shared" si="5"/>
        <v>357000</v>
      </c>
    </row>
    <row r="33" spans="1:7" x14ac:dyDescent="0.25">
      <c r="A33" s="33" t="s">
        <v>35</v>
      </c>
      <c r="B33" s="18"/>
      <c r="C33" s="18">
        <f>5956193+2213214-F33</f>
        <v>7698623</v>
      </c>
      <c r="D33" s="18"/>
      <c r="E33" s="18"/>
      <c r="F33" s="18">
        <v>470784</v>
      </c>
      <c r="G33" s="136">
        <f t="shared" si="5"/>
        <v>8169407</v>
      </c>
    </row>
    <row r="34" spans="1:7" x14ac:dyDescent="0.25">
      <c r="A34" s="33" t="s">
        <v>36</v>
      </c>
      <c r="B34" s="18"/>
      <c r="C34" s="18">
        <f>14367524-8169407</f>
        <v>6198117</v>
      </c>
      <c r="D34" s="18">
        <v>112304</v>
      </c>
      <c r="E34" s="18">
        <v>1784806</v>
      </c>
      <c r="F34" s="18"/>
      <c r="G34" s="136">
        <f t="shared" si="5"/>
        <v>8095227</v>
      </c>
    </row>
    <row r="35" spans="1:7" x14ac:dyDescent="0.25">
      <c r="A35" s="33" t="s">
        <v>37</v>
      </c>
      <c r="B35" s="18"/>
      <c r="C35" s="18"/>
      <c r="D35" s="18"/>
      <c r="E35" s="18"/>
      <c r="F35" s="18"/>
      <c r="G35" s="136">
        <f t="shared" si="5"/>
        <v>0</v>
      </c>
    </row>
    <row r="36" spans="1:7" x14ac:dyDescent="0.25">
      <c r="A36" s="33" t="s">
        <v>38</v>
      </c>
      <c r="C36" s="18"/>
      <c r="D36" s="18"/>
      <c r="E36" s="18">
        <v>1221000</v>
      </c>
      <c r="F36" s="18"/>
      <c r="G36" s="136">
        <f t="shared" si="5"/>
        <v>1221000</v>
      </c>
    </row>
    <row r="37" spans="1:7" x14ac:dyDescent="0.25">
      <c r="A37" s="33" t="s">
        <v>17</v>
      </c>
      <c r="C37" s="18"/>
      <c r="D37" s="18"/>
      <c r="E37" s="18"/>
      <c r="F37" s="18"/>
      <c r="G37" s="136">
        <f t="shared" si="5"/>
        <v>0</v>
      </c>
    </row>
    <row r="38" spans="1:7" x14ac:dyDescent="0.25">
      <c r="B38" s="125">
        <f t="shared" ref="B38:G38" si="6">SUM(B27:B37)</f>
        <v>0</v>
      </c>
      <c r="C38" s="125">
        <f t="shared" si="6"/>
        <v>14677190</v>
      </c>
      <c r="D38" s="125">
        <f t="shared" si="6"/>
        <v>112304</v>
      </c>
      <c r="E38" s="125">
        <f t="shared" si="6"/>
        <v>4873714</v>
      </c>
      <c r="F38" s="125">
        <f t="shared" si="6"/>
        <v>572095</v>
      </c>
      <c r="G38" s="125">
        <f t="shared" si="6"/>
        <v>20235303</v>
      </c>
    </row>
  </sheetData>
  <mergeCells count="1">
    <mergeCell ref="B5:G5"/>
  </mergeCells>
  <pageMargins left="0.75" right="0.75" top="0.5" bottom="0.5" header="0.3" footer="0.3"/>
  <pageSetup fitToHeight="0" orientation="landscape" r:id="rId1"/>
  <headerFooter>
    <oddFooter>&amp;L&amp;8&amp;D&amp;C&amp;8&amp;P&amp;R&amp;8&amp;A</oddFooter>
  </headerFooter>
  <rowBreaks count="1" manualBreakCount="1">
    <brk id="24" max="16383" man="1"/>
  </rowBreaks>
  <ignoredErrors>
    <ignoredError sqref="D17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D0CD4-8D72-4C85-862B-F4499F380AD0}">
  <sheetPr>
    <tabColor rgb="FFFFC000"/>
    <pageSetUpPr fitToPage="1"/>
  </sheetPr>
  <dimension ref="A1:M163"/>
  <sheetViews>
    <sheetView tabSelected="1" workbookViewId="0">
      <selection activeCell="I8" sqref="I8"/>
    </sheetView>
  </sheetViews>
  <sheetFormatPr defaultColWidth="8.85546875" defaultRowHeight="15" x14ac:dyDescent="0.25"/>
  <cols>
    <col min="1" max="1" width="43.85546875" style="2" customWidth="1"/>
    <col min="2" max="4" width="13" style="1" customWidth="1"/>
    <col min="5" max="5" width="13.140625" style="1" customWidth="1"/>
    <col min="6" max="8" width="13" style="1" customWidth="1"/>
    <col min="9" max="18" width="14" style="2" customWidth="1"/>
    <col min="19" max="16384" width="8.85546875" style="2"/>
  </cols>
  <sheetData>
    <row r="1" spans="1:13" ht="25.9" customHeight="1" x14ac:dyDescent="0.3">
      <c r="A1" s="3"/>
    </row>
    <row r="2" spans="1:13" ht="25.9" customHeight="1" x14ac:dyDescent="0.3">
      <c r="A2" s="3"/>
      <c r="H2" s="6"/>
    </row>
    <row r="3" spans="1:13" ht="18.75" customHeight="1" x14ac:dyDescent="0.3">
      <c r="A3" s="3" t="s">
        <v>353</v>
      </c>
      <c r="I3" s="6" t="str">
        <f>+'Attachment A - Base'!K3</f>
        <v>BPA #26-01</v>
      </c>
    </row>
    <row r="4" spans="1:13" ht="20.100000000000001" customHeight="1" x14ac:dyDescent="0.25">
      <c r="A4" s="17">
        <f>+'Attachment A - Base'!A4</f>
        <v>46240</v>
      </c>
      <c r="B4" s="109"/>
    </row>
    <row r="5" spans="1:13" ht="15.75" x14ac:dyDescent="0.25">
      <c r="A5" s="17"/>
      <c r="B5" s="157"/>
      <c r="C5" s="157"/>
      <c r="D5" s="157"/>
      <c r="E5" s="157"/>
      <c r="F5" s="157"/>
      <c r="G5" s="157"/>
      <c r="H5" s="157"/>
    </row>
    <row r="6" spans="1:13" x14ac:dyDescent="0.25">
      <c r="I6" s="19"/>
    </row>
    <row r="7" spans="1:13" ht="75.75" thickBot="1" x14ac:dyDescent="0.3">
      <c r="A7" s="4"/>
      <c r="B7" s="5" t="s">
        <v>39</v>
      </c>
      <c r="C7" s="5" t="s">
        <v>40</v>
      </c>
      <c r="D7" s="5" t="s">
        <v>41</v>
      </c>
      <c r="E7" s="5" t="s">
        <v>42</v>
      </c>
      <c r="F7" s="5" t="s">
        <v>43</v>
      </c>
      <c r="G7" s="5" t="s">
        <v>44</v>
      </c>
      <c r="H7" s="5" t="s">
        <v>45</v>
      </c>
      <c r="I7" s="20" t="s">
        <v>557</v>
      </c>
    </row>
    <row r="8" spans="1:13" ht="19.149999999999999" customHeight="1" x14ac:dyDescent="0.25">
      <c r="A8" s="14"/>
      <c r="B8" s="16"/>
      <c r="C8" s="16"/>
      <c r="D8" s="16"/>
      <c r="E8" s="16"/>
      <c r="F8" s="16"/>
      <c r="G8" s="16"/>
      <c r="H8" s="16"/>
      <c r="I8" s="21"/>
    </row>
    <row r="9" spans="1:13" ht="19.149999999999999" customHeight="1" x14ac:dyDescent="0.25">
      <c r="A9" s="2" t="s">
        <v>9</v>
      </c>
      <c r="B9" s="7"/>
      <c r="C9" s="7"/>
      <c r="D9" s="7"/>
      <c r="E9" s="7"/>
      <c r="F9" s="7"/>
      <c r="G9" s="7"/>
      <c r="H9" s="7"/>
      <c r="I9" s="22">
        <f t="shared" ref="I9:I16" si="0">SUM(B9:H9)</f>
        <v>0</v>
      </c>
    </row>
    <row r="10" spans="1:13" ht="19.149999999999999" customHeight="1" x14ac:dyDescent="0.25">
      <c r="A10" s="2" t="s">
        <v>10</v>
      </c>
      <c r="B10" s="7">
        <f>+B25</f>
        <v>413930</v>
      </c>
      <c r="C10" s="7">
        <f>+B30</f>
        <v>1039074</v>
      </c>
      <c r="D10" s="7">
        <f>C38</f>
        <v>5115735</v>
      </c>
      <c r="E10" s="7"/>
      <c r="F10" s="7"/>
      <c r="G10" s="7">
        <f>+C132</f>
        <v>477833</v>
      </c>
      <c r="H10" s="7">
        <f>+C149</f>
        <v>36360</v>
      </c>
      <c r="I10" s="22">
        <f t="shared" si="0"/>
        <v>7082932</v>
      </c>
      <c r="J10" s="105"/>
    </row>
    <row r="11" spans="1:13" ht="19.149999999999999" customHeight="1" x14ac:dyDescent="0.25">
      <c r="A11" s="2" t="s">
        <v>11</v>
      </c>
      <c r="B11" s="7"/>
      <c r="C11" s="7"/>
      <c r="D11" s="7"/>
      <c r="E11" s="7"/>
      <c r="F11" s="7"/>
      <c r="G11" s="7"/>
      <c r="H11" s="7">
        <f>+C153</f>
        <v>2648</v>
      </c>
      <c r="I11" s="22">
        <f t="shared" si="0"/>
        <v>2648</v>
      </c>
    </row>
    <row r="12" spans="1:13" ht="19.149999999999999" customHeight="1" x14ac:dyDescent="0.25">
      <c r="A12" s="2" t="s">
        <v>12</v>
      </c>
      <c r="B12" s="7"/>
      <c r="C12" s="7"/>
      <c r="D12" s="7">
        <f>C43</f>
        <v>3338018</v>
      </c>
      <c r="E12" s="7"/>
      <c r="F12" s="7"/>
      <c r="G12" s="7"/>
      <c r="H12" s="7"/>
      <c r="I12" s="22">
        <f t="shared" si="0"/>
        <v>3338018</v>
      </c>
    </row>
    <row r="13" spans="1:13" ht="19.149999999999999" customHeight="1" x14ac:dyDescent="0.25">
      <c r="A13" s="2" t="s">
        <v>13</v>
      </c>
      <c r="B13" s="7"/>
      <c r="C13" s="7"/>
      <c r="D13" s="7">
        <f>C48</f>
        <v>4335586</v>
      </c>
      <c r="E13" s="7">
        <f>B51</f>
        <v>8049340</v>
      </c>
      <c r="F13" s="7">
        <f>+C57</f>
        <v>1287574</v>
      </c>
      <c r="G13" s="7"/>
      <c r="H13" s="7">
        <f>+C156</f>
        <v>53964</v>
      </c>
      <c r="I13" s="22">
        <f t="shared" si="0"/>
        <v>13726464</v>
      </c>
      <c r="M13" s="97"/>
    </row>
    <row r="14" spans="1:13" ht="19.149999999999999" customHeight="1" x14ac:dyDescent="0.25">
      <c r="A14" s="2" t="s">
        <v>14</v>
      </c>
      <c r="B14" s="7"/>
      <c r="C14" s="7"/>
      <c r="D14" s="7"/>
      <c r="E14" s="7"/>
      <c r="F14" s="7"/>
      <c r="G14" s="7"/>
      <c r="H14" s="7">
        <f>+C159</f>
        <v>645180</v>
      </c>
      <c r="I14" s="22">
        <f t="shared" ref="I14:I15" si="1">SUM(B14:H14)</f>
        <v>645180</v>
      </c>
      <c r="M14" s="97"/>
    </row>
    <row r="15" spans="1:13" ht="19.149999999999999" customHeight="1" x14ac:dyDescent="0.25">
      <c r="A15" s="2" t="s">
        <v>507</v>
      </c>
      <c r="B15" s="7"/>
      <c r="C15" s="7"/>
      <c r="D15" s="7"/>
      <c r="E15" s="7"/>
      <c r="F15" s="7"/>
      <c r="G15" s="7"/>
      <c r="H15" s="7">
        <f>+C163</f>
        <v>148986</v>
      </c>
      <c r="I15" s="22">
        <f t="shared" si="1"/>
        <v>148986</v>
      </c>
      <c r="M15" s="97"/>
    </row>
    <row r="16" spans="1:13" ht="19.149999999999999" customHeight="1" x14ac:dyDescent="0.25">
      <c r="A16" s="2" t="s">
        <v>508</v>
      </c>
      <c r="B16" s="7"/>
      <c r="C16" s="7"/>
      <c r="D16" s="7"/>
      <c r="E16" s="7"/>
      <c r="F16" s="7"/>
      <c r="G16" s="7"/>
      <c r="H16" s="7"/>
      <c r="I16" s="22">
        <f t="shared" si="0"/>
        <v>0</v>
      </c>
      <c r="M16" s="97"/>
    </row>
    <row r="17" spans="1:10" ht="19.149999999999999" customHeight="1" x14ac:dyDescent="0.25">
      <c r="A17" s="9" t="s">
        <v>15</v>
      </c>
      <c r="B17" s="8">
        <f t="shared" ref="B17:I17" si="2">SUM(B9:B16)</f>
        <v>413930</v>
      </c>
      <c r="C17" s="8">
        <f t="shared" si="2"/>
        <v>1039074</v>
      </c>
      <c r="D17" s="8">
        <f t="shared" si="2"/>
        <v>12789339</v>
      </c>
      <c r="E17" s="8">
        <f t="shared" si="2"/>
        <v>8049340</v>
      </c>
      <c r="F17" s="8">
        <f t="shared" si="2"/>
        <v>1287574</v>
      </c>
      <c r="G17" s="8">
        <f t="shared" si="2"/>
        <v>477833</v>
      </c>
      <c r="H17" s="8">
        <f t="shared" si="2"/>
        <v>887138</v>
      </c>
      <c r="I17" s="23">
        <f t="shared" si="2"/>
        <v>24944228</v>
      </c>
    </row>
    <row r="18" spans="1:10" ht="19.149999999999999" customHeight="1" x14ac:dyDescent="0.25">
      <c r="A18" s="2" t="s">
        <v>16</v>
      </c>
      <c r="B18" s="7">
        <f>+B26</f>
        <v>88277</v>
      </c>
      <c r="C18" s="7">
        <f>+B31</f>
        <v>346358</v>
      </c>
      <c r="D18" s="18"/>
      <c r="I18" s="22">
        <f>SUM(B18:H18)</f>
        <v>434635</v>
      </c>
      <c r="J18" s="105"/>
    </row>
    <row r="19" spans="1:10" ht="19.149999999999999" customHeight="1" x14ac:dyDescent="0.25">
      <c r="A19" s="2" t="s">
        <v>556</v>
      </c>
      <c r="B19" s="7"/>
      <c r="C19" s="7"/>
      <c r="D19" s="18"/>
      <c r="I19" s="22">
        <f>SUM(B19:H19)</f>
        <v>0</v>
      </c>
      <c r="J19" s="105"/>
    </row>
    <row r="20" spans="1:10" ht="19.149999999999999" customHeight="1" x14ac:dyDescent="0.25">
      <c r="A20" s="2" t="s">
        <v>17</v>
      </c>
      <c r="B20" s="7"/>
      <c r="C20" s="7"/>
      <c r="D20" s="7"/>
      <c r="E20" s="7"/>
      <c r="F20" s="7"/>
      <c r="G20" s="7"/>
      <c r="H20" s="7">
        <f>24090+3944</f>
        <v>28034</v>
      </c>
      <c r="I20" s="22">
        <f>SUM(B20:H20)</f>
        <v>28034</v>
      </c>
      <c r="J20" s="105"/>
    </row>
    <row r="21" spans="1:10" ht="15" customHeight="1" thickBot="1" x14ac:dyDescent="0.3">
      <c r="A21" s="10" t="s">
        <v>18</v>
      </c>
      <c r="B21" s="11">
        <f t="shared" ref="B21:I21" si="3">SUM(B17:B20)</f>
        <v>502207</v>
      </c>
      <c r="C21" s="11">
        <f t="shared" si="3"/>
        <v>1385432</v>
      </c>
      <c r="D21" s="11">
        <f t="shared" si="3"/>
        <v>12789339</v>
      </c>
      <c r="E21" s="11">
        <f t="shared" si="3"/>
        <v>8049340</v>
      </c>
      <c r="F21" s="11">
        <f t="shared" si="3"/>
        <v>1287574</v>
      </c>
      <c r="G21" s="11">
        <f t="shared" si="3"/>
        <v>477833</v>
      </c>
      <c r="H21" s="11">
        <f t="shared" si="3"/>
        <v>915172</v>
      </c>
      <c r="I21" s="24">
        <f t="shared" si="3"/>
        <v>25406897</v>
      </c>
    </row>
    <row r="22" spans="1:10" ht="15" customHeight="1" x14ac:dyDescent="0.25">
      <c r="A22" s="65" t="s">
        <v>46</v>
      </c>
      <c r="B22" s="12"/>
      <c r="C22" s="13"/>
      <c r="D22" s="13"/>
      <c r="E22" s="13"/>
      <c r="F22" s="13"/>
      <c r="G22" s="13"/>
      <c r="H22" s="13"/>
      <c r="I22" s="13"/>
    </row>
    <row r="23" spans="1:10" x14ac:dyDescent="0.25">
      <c r="B23" s="112"/>
      <c r="C23" s="13"/>
      <c r="D23" s="13"/>
      <c r="E23" s="13"/>
      <c r="F23" s="13"/>
      <c r="G23" s="63"/>
    </row>
    <row r="24" spans="1:10" x14ac:dyDescent="0.25">
      <c r="A24" s="62" t="s">
        <v>47</v>
      </c>
      <c r="B24" s="112"/>
      <c r="C24" s="13"/>
      <c r="D24" s="13"/>
      <c r="E24" s="13"/>
      <c r="F24" s="13"/>
      <c r="G24" s="63"/>
    </row>
    <row r="25" spans="1:10" x14ac:dyDescent="0.25">
      <c r="A25" s="2" t="s">
        <v>48</v>
      </c>
      <c r="B25" s="69">
        <v>413930</v>
      </c>
      <c r="C25" s="13"/>
      <c r="D25" s="105">
        <v>0.46889999999999998</v>
      </c>
      <c r="E25" s="13"/>
      <c r="F25" s="13"/>
      <c r="G25" s="63"/>
    </row>
    <row r="26" spans="1:10" x14ac:dyDescent="0.25">
      <c r="A26" s="2" t="s">
        <v>49</v>
      </c>
      <c r="B26" s="69">
        <v>88277</v>
      </c>
      <c r="C26" s="13"/>
      <c r="D26" s="105">
        <v>0.1</v>
      </c>
      <c r="E26" s="13"/>
      <c r="F26" s="13"/>
      <c r="G26" s="63"/>
    </row>
    <row r="27" spans="1:10" x14ac:dyDescent="0.25">
      <c r="A27" s="2" t="s">
        <v>315</v>
      </c>
      <c r="B27" s="69">
        <v>380562</v>
      </c>
      <c r="C27" s="13"/>
      <c r="D27" s="105">
        <v>0.43109999999999998</v>
      </c>
      <c r="E27" s="13"/>
      <c r="F27" s="13"/>
      <c r="G27" s="63"/>
    </row>
    <row r="28" spans="1:10" x14ac:dyDescent="0.25">
      <c r="A28" s="66" t="s">
        <v>50</v>
      </c>
      <c r="B28" s="64"/>
      <c r="C28" s="64">
        <f>SUM(B25:B27)</f>
        <v>882769</v>
      </c>
      <c r="D28" s="122">
        <f>SUM(D25:D27)</f>
        <v>1</v>
      </c>
      <c r="E28" s="13"/>
      <c r="F28" s="13"/>
      <c r="G28" s="63"/>
    </row>
    <row r="29" spans="1:10" x14ac:dyDescent="0.25">
      <c r="B29" s="69"/>
      <c r="C29" s="13"/>
      <c r="D29" s="105"/>
      <c r="E29" s="13"/>
      <c r="F29" s="13"/>
      <c r="G29" s="63"/>
    </row>
    <row r="30" spans="1:10" x14ac:dyDescent="0.25">
      <c r="A30" s="2" t="s">
        <v>51</v>
      </c>
      <c r="B30" s="69">
        <v>1039074</v>
      </c>
      <c r="C30" s="13"/>
      <c r="D30" s="105">
        <v>0.75</v>
      </c>
      <c r="E30" s="13"/>
      <c r="F30" s="13"/>
      <c r="G30" s="63"/>
    </row>
    <row r="31" spans="1:10" x14ac:dyDescent="0.25">
      <c r="A31" s="2" t="s">
        <v>51</v>
      </c>
      <c r="B31" s="69">
        <v>346358</v>
      </c>
      <c r="C31" s="13"/>
      <c r="D31" s="105">
        <v>0.25</v>
      </c>
      <c r="E31" s="13"/>
      <c r="F31" s="13"/>
      <c r="G31" s="63"/>
    </row>
    <row r="32" spans="1:10" x14ac:dyDescent="0.25">
      <c r="A32" s="66" t="s">
        <v>50</v>
      </c>
      <c r="B32" s="64"/>
      <c r="C32" s="64">
        <f>SUM(B30:B31)</f>
        <v>1385432</v>
      </c>
      <c r="D32" s="122">
        <f>SUM(D30:D31)</f>
        <v>1</v>
      </c>
      <c r="E32" s="13"/>
      <c r="F32" s="13"/>
    </row>
    <row r="33" spans="1:6" x14ac:dyDescent="0.25">
      <c r="B33" s="12"/>
      <c r="C33" s="13"/>
      <c r="D33" s="105"/>
      <c r="E33" s="13"/>
      <c r="F33" s="13"/>
    </row>
    <row r="34" spans="1:6" x14ac:dyDescent="0.25">
      <c r="A34" s="62" t="s">
        <v>52</v>
      </c>
      <c r="B34" s="2"/>
      <c r="C34" s="2"/>
      <c r="D34" s="105"/>
      <c r="E34" s="139"/>
      <c r="F34" s="13"/>
    </row>
    <row r="35" spans="1:6" x14ac:dyDescent="0.25">
      <c r="A35" t="s">
        <v>53</v>
      </c>
      <c r="B35" s="7">
        <f>ROUND(12789339*D35,0)</f>
        <v>2238134</v>
      </c>
      <c r="C35" s="2"/>
      <c r="D35" s="105">
        <v>0.17499999999999999</v>
      </c>
      <c r="E35" s="93"/>
      <c r="F35" s="13"/>
    </row>
    <row r="36" spans="1:6" x14ac:dyDescent="0.25">
      <c r="A36" t="s">
        <v>54</v>
      </c>
      <c r="B36" s="7">
        <f>ROUND(12789339*D36,0)</f>
        <v>882464</v>
      </c>
      <c r="C36" s="2"/>
      <c r="D36" s="105">
        <v>6.9000000000000006E-2</v>
      </c>
      <c r="E36" s="93"/>
      <c r="F36" s="13"/>
    </row>
    <row r="37" spans="1:6" x14ac:dyDescent="0.25">
      <c r="A37" t="s">
        <v>55</v>
      </c>
      <c r="B37" s="7">
        <f>ROUND(12789339*D37,0)</f>
        <v>1995137</v>
      </c>
      <c r="C37" s="2"/>
      <c r="D37" s="105">
        <v>0.156</v>
      </c>
      <c r="E37" s="93"/>
      <c r="F37" s="13"/>
    </row>
    <row r="38" spans="1:6" x14ac:dyDescent="0.25">
      <c r="A38" s="66" t="s">
        <v>50</v>
      </c>
      <c r="B38" s="64"/>
      <c r="C38" s="64">
        <f>SUM(B35:B37)</f>
        <v>5115735</v>
      </c>
      <c r="D38" s="122">
        <f>SUM(D35:D37)</f>
        <v>0.4</v>
      </c>
      <c r="E38" s="93"/>
      <c r="F38" s="13"/>
    </row>
    <row r="39" spans="1:6" x14ac:dyDescent="0.25">
      <c r="A39" s="66"/>
      <c r="B39" s="2"/>
      <c r="C39" s="2"/>
      <c r="D39" s="123"/>
      <c r="E39" s="93"/>
      <c r="F39" s="13"/>
    </row>
    <row r="40" spans="1:6" x14ac:dyDescent="0.25">
      <c r="A40" t="s">
        <v>56</v>
      </c>
      <c r="B40" s="7">
        <f t="shared" ref="B40:B42" si="4">ROUND(12789339*D40,0)</f>
        <v>754571</v>
      </c>
      <c r="C40" s="2"/>
      <c r="D40" s="105">
        <v>5.8999999999999997E-2</v>
      </c>
      <c r="E40" s="93"/>
      <c r="F40" s="13"/>
    </row>
    <row r="41" spans="1:6" x14ac:dyDescent="0.25">
      <c r="A41" t="s">
        <v>57</v>
      </c>
      <c r="B41" s="7">
        <f t="shared" si="4"/>
        <v>562731</v>
      </c>
      <c r="C41" s="2"/>
      <c r="D41" s="105">
        <v>4.3999999999999997E-2</v>
      </c>
      <c r="E41" s="93"/>
      <c r="F41" s="13"/>
    </row>
    <row r="42" spans="1:6" x14ac:dyDescent="0.25">
      <c r="A42" t="s">
        <v>58</v>
      </c>
      <c r="B42" s="7">
        <f t="shared" si="4"/>
        <v>2020716</v>
      </c>
      <c r="C42" s="2"/>
      <c r="D42" s="105">
        <v>0.158</v>
      </c>
      <c r="E42" s="93"/>
      <c r="F42" s="13"/>
    </row>
    <row r="43" spans="1:6" x14ac:dyDescent="0.25">
      <c r="A43" s="66" t="s">
        <v>59</v>
      </c>
      <c r="B43" s="64"/>
      <c r="C43" s="64">
        <f>SUM(B40:B42)</f>
        <v>3338018</v>
      </c>
      <c r="D43" s="122">
        <f>SUM(D40:D42)</f>
        <v>0.26100000000000001</v>
      </c>
      <c r="E43" s="93"/>
      <c r="F43" s="13"/>
    </row>
    <row r="44" spans="1:6" x14ac:dyDescent="0.25">
      <c r="A44" s="66"/>
      <c r="B44" s="2"/>
      <c r="C44" s="2"/>
      <c r="D44" s="123"/>
      <c r="E44" s="93"/>
      <c r="F44" s="13"/>
    </row>
    <row r="45" spans="1:6" x14ac:dyDescent="0.25">
      <c r="A45" s="2" t="s">
        <v>60</v>
      </c>
      <c r="B45" s="7">
        <f t="shared" ref="B45:B47" si="5">ROUND(12789339*D45,0)</f>
        <v>3772855</v>
      </c>
      <c r="C45" s="2"/>
      <c r="D45" s="105">
        <v>0.29499999999999998</v>
      </c>
      <c r="E45" s="93"/>
      <c r="F45" s="13"/>
    </row>
    <row r="46" spans="1:6" x14ac:dyDescent="0.25">
      <c r="A46" s="2" t="s">
        <v>61</v>
      </c>
      <c r="B46" s="7">
        <f t="shared" si="5"/>
        <v>332523</v>
      </c>
      <c r="C46" s="2"/>
      <c r="D46" s="105">
        <v>2.5999999999999999E-2</v>
      </c>
      <c r="E46" s="93"/>
      <c r="F46" s="13"/>
    </row>
    <row r="47" spans="1:6" x14ac:dyDescent="0.25">
      <c r="A47" s="2" t="s">
        <v>62</v>
      </c>
      <c r="B47" s="7">
        <f t="shared" si="5"/>
        <v>230208</v>
      </c>
      <c r="C47" s="2"/>
      <c r="D47" s="105">
        <v>1.7999999999999999E-2</v>
      </c>
      <c r="E47" s="93"/>
      <c r="F47" s="13"/>
    </row>
    <row r="48" spans="1:6" x14ac:dyDescent="0.25">
      <c r="A48" s="66" t="s">
        <v>63</v>
      </c>
      <c r="B48" s="64"/>
      <c r="C48" s="64">
        <f>SUM(B45:B47)</f>
        <v>4335586</v>
      </c>
      <c r="D48" s="124">
        <f>SUM(D45:D47)</f>
        <v>0.33900000000000002</v>
      </c>
      <c r="E48" s="93"/>
      <c r="F48" s="13"/>
    </row>
    <row r="49" spans="1:7" x14ac:dyDescent="0.25">
      <c r="B49" s="2"/>
      <c r="C49" s="2"/>
      <c r="D49" s="105"/>
      <c r="E49" s="13"/>
      <c r="F49" s="13"/>
    </row>
    <row r="50" spans="1:7" x14ac:dyDescent="0.25">
      <c r="A50" s="62" t="s">
        <v>64</v>
      </c>
      <c r="B50" s="2"/>
      <c r="C50" s="2"/>
      <c r="D50" s="105"/>
      <c r="E50" s="13"/>
      <c r="F50" s="13"/>
    </row>
    <row r="51" spans="1:7" x14ac:dyDescent="0.25">
      <c r="A51" s="2" t="s">
        <v>65</v>
      </c>
      <c r="B51" s="2">
        <v>8049340</v>
      </c>
      <c r="C51" s="2"/>
      <c r="D51" s="105"/>
      <c r="E51" s="139"/>
      <c r="F51" s="119"/>
    </row>
    <row r="52" spans="1:7" x14ac:dyDescent="0.25">
      <c r="A52" s="66" t="s">
        <v>63</v>
      </c>
      <c r="B52" s="68"/>
      <c r="C52" s="68">
        <f>B51</f>
        <v>8049340</v>
      </c>
      <c r="D52" s="105"/>
      <c r="E52" s="13"/>
      <c r="F52" s="119"/>
      <c r="G52" s="121"/>
    </row>
    <row r="53" spans="1:7" x14ac:dyDescent="0.25">
      <c r="B53" s="2"/>
      <c r="C53" s="2"/>
      <c r="D53" s="105"/>
      <c r="E53" s="13"/>
      <c r="F53" s="120"/>
      <c r="G53" s="121"/>
    </row>
    <row r="54" spans="1:7" x14ac:dyDescent="0.25">
      <c r="A54" s="62" t="s">
        <v>66</v>
      </c>
      <c r="B54" s="2"/>
      <c r="C54" s="2"/>
      <c r="D54" s="105"/>
    </row>
    <row r="55" spans="1:7" x14ac:dyDescent="0.25">
      <c r="A55" s="2" t="s">
        <v>67</v>
      </c>
      <c r="B55" s="2">
        <v>1241657</v>
      </c>
      <c r="C55" s="2"/>
      <c r="D55" s="105">
        <f>189.29/196.29</f>
        <v>0.96433847878139489</v>
      </c>
      <c r="F55" s="18"/>
    </row>
    <row r="56" spans="1:7" x14ac:dyDescent="0.25">
      <c r="A56" s="2" t="s">
        <v>68</v>
      </c>
      <c r="B56" s="2">
        <v>45917</v>
      </c>
      <c r="C56" s="2"/>
      <c r="D56" s="105">
        <f>7/196.29</f>
        <v>3.5661521218605129E-2</v>
      </c>
    </row>
    <row r="57" spans="1:7" x14ac:dyDescent="0.25">
      <c r="A57" s="66" t="s">
        <v>63</v>
      </c>
      <c r="B57" s="64"/>
      <c r="C57" s="64">
        <f>SUM(B55:B56)</f>
        <v>1287574</v>
      </c>
      <c r="D57" s="122">
        <f>SUM(D55:D56)</f>
        <v>1</v>
      </c>
    </row>
    <row r="58" spans="1:7" x14ac:dyDescent="0.25">
      <c r="A58" s="99" t="s">
        <v>331</v>
      </c>
      <c r="B58" s="2"/>
      <c r="C58" s="2"/>
    </row>
    <row r="60" spans="1:7" x14ac:dyDescent="0.25">
      <c r="A60" s="62" t="s">
        <v>69</v>
      </c>
    </row>
    <row r="61" spans="1:7" x14ac:dyDescent="0.25">
      <c r="A61" t="s">
        <v>316</v>
      </c>
      <c r="B61" s="18">
        <v>5940</v>
      </c>
      <c r="C61" s="63"/>
    </row>
    <row r="62" spans="1:7" x14ac:dyDescent="0.25">
      <c r="A62" t="s">
        <v>70</v>
      </c>
      <c r="B62" s="18">
        <v>4320</v>
      </c>
      <c r="C62" s="63"/>
    </row>
    <row r="63" spans="1:7" x14ac:dyDescent="0.25">
      <c r="A63" t="s">
        <v>317</v>
      </c>
      <c r="B63" s="18">
        <v>3200</v>
      </c>
      <c r="C63" s="63"/>
    </row>
    <row r="64" spans="1:7" x14ac:dyDescent="0.25">
      <c r="A64" t="s">
        <v>318</v>
      </c>
      <c r="B64" s="18">
        <v>7380</v>
      </c>
      <c r="C64" s="63"/>
    </row>
    <row r="65" spans="1:3" x14ac:dyDescent="0.25">
      <c r="A65" t="s">
        <v>72</v>
      </c>
      <c r="B65" s="18">
        <v>2750</v>
      </c>
      <c r="C65" s="63"/>
    </row>
    <row r="66" spans="1:3" x14ac:dyDescent="0.25">
      <c r="A66" t="s">
        <v>319</v>
      </c>
      <c r="B66" s="18">
        <v>3220</v>
      </c>
      <c r="C66" s="63"/>
    </row>
    <row r="67" spans="1:3" x14ac:dyDescent="0.25">
      <c r="A67" t="s">
        <v>73</v>
      </c>
      <c r="B67" s="18">
        <v>2833</v>
      </c>
      <c r="C67" s="63"/>
    </row>
    <row r="68" spans="1:3" x14ac:dyDescent="0.25">
      <c r="A68" t="s">
        <v>74</v>
      </c>
      <c r="B68" s="18">
        <v>2800</v>
      </c>
      <c r="C68" s="63"/>
    </row>
    <row r="69" spans="1:3" x14ac:dyDescent="0.25">
      <c r="A69" t="s">
        <v>75</v>
      </c>
      <c r="B69" s="18">
        <v>4951</v>
      </c>
      <c r="C69" s="63"/>
    </row>
    <row r="70" spans="1:3" x14ac:dyDescent="0.25">
      <c r="A70" t="s">
        <v>320</v>
      </c>
      <c r="B70" s="18">
        <v>3600</v>
      </c>
      <c r="C70" s="63"/>
    </row>
    <row r="71" spans="1:3" x14ac:dyDescent="0.25">
      <c r="A71" t="s">
        <v>76</v>
      </c>
      <c r="B71" s="18">
        <v>0</v>
      </c>
      <c r="C71" s="63"/>
    </row>
    <row r="72" spans="1:3" x14ac:dyDescent="0.25">
      <c r="A72" t="s">
        <v>77</v>
      </c>
      <c r="B72" s="18">
        <v>261</v>
      </c>
      <c r="C72" s="63"/>
    </row>
    <row r="73" spans="1:3" x14ac:dyDescent="0.25">
      <c r="A73" t="s">
        <v>78</v>
      </c>
      <c r="B73" s="18">
        <v>853</v>
      </c>
      <c r="C73" s="63"/>
    </row>
    <row r="74" spans="1:3" x14ac:dyDescent="0.25">
      <c r="A74" t="s">
        <v>79</v>
      </c>
      <c r="B74" s="18">
        <v>900</v>
      </c>
      <c r="C74" s="63"/>
    </row>
    <row r="75" spans="1:3" x14ac:dyDescent="0.25">
      <c r="A75" t="s">
        <v>80</v>
      </c>
      <c r="B75" s="18">
        <v>4769</v>
      </c>
      <c r="C75" s="63"/>
    </row>
    <row r="76" spans="1:3" x14ac:dyDescent="0.25">
      <c r="A76" t="s">
        <v>321</v>
      </c>
      <c r="B76" s="18">
        <v>5460</v>
      </c>
      <c r="C76" s="63"/>
    </row>
    <row r="77" spans="1:3" x14ac:dyDescent="0.25">
      <c r="A77" t="s">
        <v>81</v>
      </c>
      <c r="B77" s="18">
        <v>670</v>
      </c>
      <c r="C77" s="63"/>
    </row>
    <row r="78" spans="1:3" x14ac:dyDescent="0.25">
      <c r="A78" t="s">
        <v>82</v>
      </c>
      <c r="B78" s="18">
        <v>7068</v>
      </c>
      <c r="C78" s="63"/>
    </row>
    <row r="79" spans="1:3" x14ac:dyDescent="0.25">
      <c r="A79" t="s">
        <v>322</v>
      </c>
      <c r="B79" s="18">
        <v>2960</v>
      </c>
      <c r="C79" s="63"/>
    </row>
    <row r="80" spans="1:3" x14ac:dyDescent="0.25">
      <c r="A80" t="s">
        <v>83</v>
      </c>
      <c r="B80" s="18">
        <v>9360</v>
      </c>
      <c r="C80" s="63"/>
    </row>
    <row r="81" spans="1:3" x14ac:dyDescent="0.25">
      <c r="A81" t="s">
        <v>84</v>
      </c>
      <c r="B81" s="18">
        <v>15198</v>
      </c>
      <c r="C81" s="63"/>
    </row>
    <row r="82" spans="1:3" x14ac:dyDescent="0.25">
      <c r="A82" t="s">
        <v>85</v>
      </c>
      <c r="B82" s="18">
        <v>26939</v>
      </c>
      <c r="C82" s="63"/>
    </row>
    <row r="83" spans="1:3" x14ac:dyDescent="0.25">
      <c r="A83" t="s">
        <v>86</v>
      </c>
      <c r="B83" s="18">
        <v>9501</v>
      </c>
      <c r="C83" s="63"/>
    </row>
    <row r="84" spans="1:3" x14ac:dyDescent="0.25">
      <c r="A84" t="s">
        <v>87</v>
      </c>
      <c r="B84" s="18">
        <v>9979</v>
      </c>
      <c r="C84" s="63"/>
    </row>
    <row r="85" spans="1:3" x14ac:dyDescent="0.25">
      <c r="A85" t="s">
        <v>88</v>
      </c>
      <c r="B85" s="18">
        <v>17822</v>
      </c>
      <c r="C85" s="63"/>
    </row>
    <row r="86" spans="1:3" x14ac:dyDescent="0.25">
      <c r="A86" t="s">
        <v>89</v>
      </c>
      <c r="B86" s="18">
        <v>6504</v>
      </c>
      <c r="C86" s="63"/>
    </row>
    <row r="87" spans="1:3" x14ac:dyDescent="0.25">
      <c r="A87" t="s">
        <v>90</v>
      </c>
      <c r="B87" s="18">
        <v>533</v>
      </c>
      <c r="C87" s="63"/>
    </row>
    <row r="88" spans="1:3" x14ac:dyDescent="0.25">
      <c r="A88" t="s">
        <v>91</v>
      </c>
      <c r="B88" s="18">
        <v>5560</v>
      </c>
      <c r="C88" s="63"/>
    </row>
    <row r="89" spans="1:3" x14ac:dyDescent="0.25">
      <c r="A89" t="s">
        <v>92</v>
      </c>
      <c r="B89" s="18">
        <v>1960</v>
      </c>
      <c r="C89" s="63"/>
    </row>
    <row r="90" spans="1:3" x14ac:dyDescent="0.25">
      <c r="A90" t="s">
        <v>93</v>
      </c>
      <c r="B90" s="18">
        <v>3087</v>
      </c>
      <c r="C90" s="63"/>
    </row>
    <row r="91" spans="1:3" x14ac:dyDescent="0.25">
      <c r="A91" t="s">
        <v>94</v>
      </c>
      <c r="B91" s="18">
        <v>2700</v>
      </c>
      <c r="C91" s="63"/>
    </row>
    <row r="92" spans="1:3" x14ac:dyDescent="0.25">
      <c r="A92" t="s">
        <v>95</v>
      </c>
      <c r="B92" s="18">
        <v>0</v>
      </c>
      <c r="C92" s="63"/>
    </row>
    <row r="93" spans="1:3" x14ac:dyDescent="0.25">
      <c r="A93" t="s">
        <v>96</v>
      </c>
      <c r="B93" s="18">
        <v>3042</v>
      </c>
      <c r="C93" s="63"/>
    </row>
    <row r="94" spans="1:3" x14ac:dyDescent="0.25">
      <c r="A94" t="s">
        <v>97</v>
      </c>
      <c r="B94" s="18">
        <v>2190</v>
      </c>
      <c r="C94" s="63"/>
    </row>
    <row r="95" spans="1:3" x14ac:dyDescent="0.25">
      <c r="A95" t="s">
        <v>98</v>
      </c>
      <c r="B95" s="18">
        <v>0</v>
      </c>
      <c r="C95" s="63"/>
    </row>
    <row r="96" spans="1:3" x14ac:dyDescent="0.25">
      <c r="A96" t="s">
        <v>323</v>
      </c>
      <c r="B96" s="18">
        <v>92400</v>
      </c>
      <c r="C96" s="63"/>
    </row>
    <row r="97" spans="1:3" x14ac:dyDescent="0.25">
      <c r="A97" t="s">
        <v>198</v>
      </c>
      <c r="B97" s="18">
        <v>0</v>
      </c>
      <c r="C97" s="63"/>
    </row>
    <row r="98" spans="1:3" x14ac:dyDescent="0.25">
      <c r="A98" t="s">
        <v>199</v>
      </c>
      <c r="B98" s="18">
        <v>0</v>
      </c>
      <c r="C98" s="63"/>
    </row>
    <row r="99" spans="1:3" x14ac:dyDescent="0.25">
      <c r="A99" t="s">
        <v>99</v>
      </c>
      <c r="B99" s="18">
        <v>6991</v>
      </c>
      <c r="C99" s="63"/>
    </row>
    <row r="100" spans="1:3" x14ac:dyDescent="0.25">
      <c r="A100" t="s">
        <v>100</v>
      </c>
      <c r="B100" s="18">
        <v>7264</v>
      </c>
      <c r="C100" s="63"/>
    </row>
    <row r="101" spans="1:3" x14ac:dyDescent="0.25">
      <c r="A101" t="s">
        <v>101</v>
      </c>
      <c r="B101" s="18">
        <v>11067</v>
      </c>
      <c r="C101" s="63"/>
    </row>
    <row r="102" spans="1:3" x14ac:dyDescent="0.25">
      <c r="A102" t="s">
        <v>102</v>
      </c>
      <c r="B102" s="18">
        <v>6678</v>
      </c>
      <c r="C102" s="63"/>
    </row>
    <row r="103" spans="1:3" x14ac:dyDescent="0.25">
      <c r="A103" t="s">
        <v>103</v>
      </c>
      <c r="B103" s="18">
        <v>6701</v>
      </c>
      <c r="C103" s="63"/>
    </row>
    <row r="104" spans="1:3" x14ac:dyDescent="0.25">
      <c r="A104" t="s">
        <v>104</v>
      </c>
      <c r="B104" s="18">
        <v>0</v>
      </c>
      <c r="C104" s="63"/>
    </row>
    <row r="105" spans="1:3" x14ac:dyDescent="0.25">
      <c r="A105" t="s">
        <v>105</v>
      </c>
      <c r="B105" s="18">
        <v>7155</v>
      </c>
      <c r="C105" s="63"/>
    </row>
    <row r="106" spans="1:3" x14ac:dyDescent="0.25">
      <c r="A106" t="s">
        <v>106</v>
      </c>
      <c r="B106" s="18">
        <v>715</v>
      </c>
      <c r="C106" s="63"/>
    </row>
    <row r="107" spans="1:3" x14ac:dyDescent="0.25">
      <c r="A107" t="s">
        <v>107</v>
      </c>
      <c r="B107" s="18">
        <v>12182</v>
      </c>
      <c r="C107" s="63"/>
    </row>
    <row r="108" spans="1:3" x14ac:dyDescent="0.25">
      <c r="A108" t="s">
        <v>108</v>
      </c>
      <c r="B108" s="18">
        <v>20156</v>
      </c>
      <c r="C108" s="63"/>
    </row>
    <row r="109" spans="1:3" x14ac:dyDescent="0.25">
      <c r="A109" t="s">
        <v>109</v>
      </c>
      <c r="B109" s="18">
        <v>16684</v>
      </c>
      <c r="C109" s="63"/>
    </row>
    <row r="110" spans="1:3" x14ac:dyDescent="0.25">
      <c r="A110" t="s">
        <v>110</v>
      </c>
      <c r="B110" s="18">
        <v>44627</v>
      </c>
      <c r="C110" s="63"/>
    </row>
    <row r="111" spans="1:3" x14ac:dyDescent="0.25">
      <c r="A111" t="s">
        <v>111</v>
      </c>
      <c r="B111" s="18">
        <v>700</v>
      </c>
      <c r="C111" s="63"/>
    </row>
    <row r="112" spans="1:3" x14ac:dyDescent="0.25">
      <c r="A112" t="s">
        <v>112</v>
      </c>
      <c r="B112" s="18">
        <v>2200</v>
      </c>
      <c r="C112" s="63"/>
    </row>
    <row r="113" spans="1:3" x14ac:dyDescent="0.25">
      <c r="A113" t="s">
        <v>113</v>
      </c>
      <c r="B113" s="18">
        <v>1900</v>
      </c>
      <c r="C113" s="63"/>
    </row>
    <row r="114" spans="1:3" x14ac:dyDescent="0.25">
      <c r="A114" t="s">
        <v>114</v>
      </c>
      <c r="B114" s="18">
        <v>26624</v>
      </c>
      <c r="C114" s="63"/>
    </row>
    <row r="115" spans="1:3" x14ac:dyDescent="0.25">
      <c r="A115" t="s">
        <v>115</v>
      </c>
      <c r="B115" s="18">
        <v>1738</v>
      </c>
      <c r="C115" s="63"/>
    </row>
    <row r="116" spans="1:3" x14ac:dyDescent="0.25">
      <c r="A116" t="s">
        <v>116</v>
      </c>
      <c r="B116" s="18">
        <v>2506</v>
      </c>
      <c r="C116" s="63"/>
    </row>
    <row r="117" spans="1:3" x14ac:dyDescent="0.25">
      <c r="A117" t="s">
        <v>117</v>
      </c>
      <c r="B117" s="18">
        <v>3750</v>
      </c>
      <c r="C117" s="63"/>
    </row>
    <row r="118" spans="1:3" x14ac:dyDescent="0.25">
      <c r="A118" t="s">
        <v>118</v>
      </c>
      <c r="B118" s="18">
        <v>342</v>
      </c>
      <c r="C118" s="63"/>
    </row>
    <row r="119" spans="1:3" x14ac:dyDescent="0.25">
      <c r="A119" t="s">
        <v>119</v>
      </c>
      <c r="B119" s="18">
        <v>2701</v>
      </c>
      <c r="C119" s="63"/>
    </row>
    <row r="120" spans="1:3" x14ac:dyDescent="0.25">
      <c r="A120" t="s">
        <v>120</v>
      </c>
      <c r="B120" s="18">
        <v>4125</v>
      </c>
      <c r="C120" s="63"/>
    </row>
    <row r="121" spans="1:3" x14ac:dyDescent="0.25">
      <c r="A121" t="s">
        <v>121</v>
      </c>
      <c r="B121" s="18">
        <v>4501</v>
      </c>
      <c r="C121" s="63"/>
    </row>
    <row r="122" spans="1:3" x14ac:dyDescent="0.25">
      <c r="A122" t="s">
        <v>122</v>
      </c>
      <c r="B122" s="18">
        <v>0</v>
      </c>
      <c r="C122" s="63"/>
    </row>
    <row r="123" spans="1:3" x14ac:dyDescent="0.25">
      <c r="A123" t="s">
        <v>123</v>
      </c>
      <c r="B123" s="18">
        <v>4750</v>
      </c>
      <c r="C123" s="63"/>
    </row>
    <row r="124" spans="1:3" x14ac:dyDescent="0.25">
      <c r="A124" t="s">
        <v>124</v>
      </c>
      <c r="B124" s="18">
        <v>0</v>
      </c>
      <c r="C124" s="63"/>
    </row>
    <row r="125" spans="1:3" x14ac:dyDescent="0.25">
      <c r="A125" t="s">
        <v>324</v>
      </c>
      <c r="B125" s="18">
        <v>600</v>
      </c>
      <c r="C125" s="63" t="s">
        <v>71</v>
      </c>
    </row>
    <row r="126" spans="1:3" x14ac:dyDescent="0.25">
      <c r="A126" t="s">
        <v>325</v>
      </c>
      <c r="B126" s="18">
        <v>1250</v>
      </c>
      <c r="C126" s="63" t="s">
        <v>71</v>
      </c>
    </row>
    <row r="127" spans="1:3" x14ac:dyDescent="0.25">
      <c r="A127" t="s">
        <v>326</v>
      </c>
      <c r="B127" s="18">
        <v>792</v>
      </c>
      <c r="C127" s="63" t="s">
        <v>71</v>
      </c>
    </row>
    <row r="128" spans="1:3" x14ac:dyDescent="0.25">
      <c r="A128" t="s">
        <v>327</v>
      </c>
      <c r="B128" s="18">
        <v>2520</v>
      </c>
      <c r="C128" s="63" t="s">
        <v>71</v>
      </c>
    </row>
    <row r="129" spans="1:3" x14ac:dyDescent="0.25">
      <c r="A129" t="s">
        <v>328</v>
      </c>
      <c r="B129" s="18">
        <v>2304</v>
      </c>
      <c r="C129" s="63" t="s">
        <v>71</v>
      </c>
    </row>
    <row r="130" spans="1:3" x14ac:dyDescent="0.25">
      <c r="A130" t="s">
        <v>329</v>
      </c>
      <c r="B130" s="18">
        <v>1200</v>
      </c>
      <c r="C130" s="63" t="s">
        <v>71</v>
      </c>
    </row>
    <row r="131" spans="1:3" x14ac:dyDescent="0.25">
      <c r="A131" t="s">
        <v>330</v>
      </c>
      <c r="B131" s="18">
        <v>2400</v>
      </c>
      <c r="C131" s="63" t="s">
        <v>71</v>
      </c>
    </row>
    <row r="132" spans="1:3" x14ac:dyDescent="0.25">
      <c r="A132" s="66" t="s">
        <v>50</v>
      </c>
      <c r="B132" s="64"/>
      <c r="C132" s="64">
        <f>SUM(B61:B131)</f>
        <v>477833</v>
      </c>
    </row>
    <row r="133" spans="1:3" x14ac:dyDescent="0.25">
      <c r="A133" s="99" t="s">
        <v>332</v>
      </c>
      <c r="B133" s="2"/>
      <c r="C133" s="2"/>
    </row>
    <row r="134" spans="1:3" x14ac:dyDescent="0.25">
      <c r="A134" s="99"/>
      <c r="B134" s="2"/>
      <c r="C134" s="2"/>
    </row>
    <row r="136" spans="1:3" x14ac:dyDescent="0.25">
      <c r="A136" s="62" t="s">
        <v>126</v>
      </c>
    </row>
    <row r="137" spans="1:3" x14ac:dyDescent="0.25">
      <c r="A137" t="s">
        <v>128</v>
      </c>
      <c r="B137" s="106">
        <v>10416</v>
      </c>
      <c r="C137" s="67"/>
    </row>
    <row r="138" spans="1:3" x14ac:dyDescent="0.25">
      <c r="A138" t="s">
        <v>130</v>
      </c>
      <c r="B138" s="106"/>
      <c r="C138" s="67"/>
    </row>
    <row r="139" spans="1:3" x14ac:dyDescent="0.25">
      <c r="A139" t="s">
        <v>131</v>
      </c>
      <c r="B139" s="106"/>
      <c r="C139" s="67"/>
    </row>
    <row r="140" spans="1:3" x14ac:dyDescent="0.25">
      <c r="A140" t="s">
        <v>132</v>
      </c>
      <c r="B140" s="106"/>
      <c r="C140" s="67"/>
    </row>
    <row r="141" spans="1:3" x14ac:dyDescent="0.25">
      <c r="A141" t="s">
        <v>133</v>
      </c>
      <c r="B141" s="106"/>
      <c r="C141" s="67"/>
    </row>
    <row r="142" spans="1:3" x14ac:dyDescent="0.25">
      <c r="A142" t="s">
        <v>134</v>
      </c>
      <c r="B142" s="106"/>
      <c r="C142" s="67"/>
    </row>
    <row r="143" spans="1:3" x14ac:dyDescent="0.25">
      <c r="A143" t="s">
        <v>135</v>
      </c>
      <c r="B143" s="106">
        <v>16508</v>
      </c>
      <c r="C143" s="67"/>
    </row>
    <row r="144" spans="1:3" x14ac:dyDescent="0.25">
      <c r="A144" t="s">
        <v>136</v>
      </c>
      <c r="B144" s="106"/>
      <c r="C144" s="67"/>
    </row>
    <row r="145" spans="1:3" x14ac:dyDescent="0.25">
      <c r="A145" t="s">
        <v>137</v>
      </c>
      <c r="B145" s="106">
        <v>1731</v>
      </c>
      <c r="C145" s="67"/>
    </row>
    <row r="146" spans="1:3" x14ac:dyDescent="0.25">
      <c r="A146" t="s">
        <v>138</v>
      </c>
      <c r="B146" s="106"/>
      <c r="C146" s="67"/>
    </row>
    <row r="147" spans="1:3" x14ac:dyDescent="0.25">
      <c r="A147" t="s">
        <v>139</v>
      </c>
      <c r="B147" s="106">
        <v>7705</v>
      </c>
      <c r="C147" s="67"/>
    </row>
    <row r="148" spans="1:3" x14ac:dyDescent="0.25">
      <c r="A148" t="s">
        <v>140</v>
      </c>
      <c r="B148" s="106"/>
      <c r="C148" s="67"/>
    </row>
    <row r="149" spans="1:3" x14ac:dyDescent="0.25">
      <c r="A149" s="66" t="s">
        <v>50</v>
      </c>
      <c r="B149" s="64"/>
      <c r="C149" s="64">
        <f>SUM(B137:B148)</f>
        <v>36360</v>
      </c>
    </row>
    <row r="150" spans="1:3" x14ac:dyDescent="0.25">
      <c r="A150" s="99" t="s">
        <v>125</v>
      </c>
      <c r="B150" s="2"/>
      <c r="C150" s="2"/>
    </row>
    <row r="151" spans="1:3" x14ac:dyDescent="0.25">
      <c r="A151" s="66"/>
      <c r="B151" s="2"/>
      <c r="C151" s="2"/>
    </row>
    <row r="152" spans="1:3" x14ac:dyDescent="0.25">
      <c r="A152" t="s">
        <v>141</v>
      </c>
      <c r="B152" s="106">
        <v>2648</v>
      </c>
      <c r="C152" s="67"/>
    </row>
    <row r="153" spans="1:3" x14ac:dyDescent="0.25">
      <c r="A153" s="66" t="s">
        <v>142</v>
      </c>
      <c r="B153" s="107"/>
      <c r="C153" s="68">
        <f>B152</f>
        <v>2648</v>
      </c>
    </row>
    <row r="154" spans="1:3" x14ac:dyDescent="0.25">
      <c r="A154" s="66"/>
      <c r="B154" s="108"/>
      <c r="C154" s="76"/>
    </row>
    <row r="155" spans="1:3" x14ac:dyDescent="0.25">
      <c r="A155" t="s">
        <v>143</v>
      </c>
      <c r="B155" s="106">
        <v>53964</v>
      </c>
      <c r="C155" s="67"/>
    </row>
    <row r="156" spans="1:3" x14ac:dyDescent="0.25">
      <c r="A156" s="66" t="s">
        <v>63</v>
      </c>
      <c r="B156" s="107"/>
      <c r="C156" s="68">
        <f>B155</f>
        <v>53964</v>
      </c>
    </row>
    <row r="157" spans="1:3" x14ac:dyDescent="0.25">
      <c r="A157" s="66"/>
      <c r="B157" s="108"/>
      <c r="C157" s="76"/>
    </row>
    <row r="158" spans="1:3" x14ac:dyDescent="0.25">
      <c r="A158" t="s">
        <v>144</v>
      </c>
      <c r="B158" s="106">
        <f>321420+323760</f>
        <v>645180</v>
      </c>
      <c r="C158" s="111"/>
    </row>
    <row r="159" spans="1:3" x14ac:dyDescent="0.25">
      <c r="A159" s="66" t="s">
        <v>145</v>
      </c>
      <c r="B159" s="68"/>
      <c r="C159" s="68">
        <f>B158</f>
        <v>645180</v>
      </c>
    </row>
    <row r="160" spans="1:3" x14ac:dyDescent="0.25">
      <c r="A160" s="99"/>
    </row>
    <row r="161" spans="1:3" x14ac:dyDescent="0.25">
      <c r="A161" t="s">
        <v>127</v>
      </c>
      <c r="B161" s="106">
        <v>44166</v>
      </c>
    </row>
    <row r="162" spans="1:3" x14ac:dyDescent="0.25">
      <c r="A162" t="s">
        <v>129</v>
      </c>
      <c r="B162" s="106">
        <f>82054+22766</f>
        <v>104820</v>
      </c>
      <c r="C162" s="111"/>
    </row>
    <row r="163" spans="1:3" x14ac:dyDescent="0.25">
      <c r="A163" s="66" t="s">
        <v>523</v>
      </c>
      <c r="B163" s="68"/>
      <c r="C163" s="68">
        <f>SUM(B161:B162)</f>
        <v>148986</v>
      </c>
    </row>
  </sheetData>
  <mergeCells count="1">
    <mergeCell ref="B5:H5"/>
  </mergeCells>
  <printOptions horizontalCentered="1"/>
  <pageMargins left="0.5" right="0.5" top="0.5" bottom="0.5" header="0.3" footer="0.3"/>
  <pageSetup scale="86" fitToHeight="0" orientation="landscape" r:id="rId1"/>
  <headerFooter>
    <oddFooter>&amp;L&amp;8&amp;D&amp;C&amp;8&amp;P&amp;R&amp;8&amp;A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CCAC7-C105-437B-A563-68EABD1C490D}">
  <sheetPr>
    <tabColor theme="9"/>
    <pageSetUpPr fitToPage="1"/>
  </sheetPr>
  <dimension ref="A1:N42"/>
  <sheetViews>
    <sheetView zoomScale="115" zoomScaleNormal="115" workbookViewId="0"/>
  </sheetViews>
  <sheetFormatPr defaultColWidth="8.85546875" defaultRowHeight="15" x14ac:dyDescent="0.25"/>
  <cols>
    <col min="1" max="1" width="23.5703125" style="2" customWidth="1"/>
    <col min="2" max="2" width="14.7109375" style="1" customWidth="1"/>
    <col min="3" max="3" width="11.7109375" style="1" customWidth="1"/>
    <col min="4" max="4" width="12.42578125" style="1" customWidth="1"/>
    <col min="5" max="5" width="13" style="1" bestFit="1" customWidth="1"/>
    <col min="6" max="6" width="14.85546875" style="1" customWidth="1"/>
    <col min="7" max="7" width="13.42578125" style="1" customWidth="1"/>
    <col min="8" max="8" width="12.7109375" style="1" customWidth="1"/>
    <col min="9" max="9" width="14.42578125" style="1" customWidth="1"/>
    <col min="10" max="10" width="13.42578125" style="1" customWidth="1"/>
    <col min="11" max="11" width="12.7109375" style="1" customWidth="1"/>
    <col min="12" max="12" width="14.42578125" style="1" customWidth="1"/>
    <col min="13" max="13" width="14.85546875" style="2" customWidth="1"/>
    <col min="14" max="14" width="11" style="2" bestFit="1" customWidth="1"/>
    <col min="15" max="17" width="15.85546875" style="2" customWidth="1"/>
    <col min="18" max="18" width="13.85546875" style="2" customWidth="1"/>
    <col min="19" max="16384" width="8.85546875" style="2"/>
  </cols>
  <sheetData>
    <row r="1" spans="1:14" ht="25.9" customHeight="1" x14ac:dyDescent="0.4">
      <c r="A1" s="3"/>
      <c r="G1" s="26"/>
      <c r="H1" s="26"/>
      <c r="I1" s="26"/>
      <c r="J1" s="26"/>
      <c r="K1" s="26"/>
      <c r="L1" s="26"/>
      <c r="N1" s="27"/>
    </row>
    <row r="2" spans="1:14" ht="25.9" customHeight="1" x14ac:dyDescent="0.3">
      <c r="A2" s="3"/>
      <c r="G2" s="6"/>
      <c r="H2" s="6"/>
      <c r="I2" s="6"/>
      <c r="J2" s="6"/>
      <c r="K2" s="6"/>
      <c r="L2" s="6"/>
      <c r="M2" s="28"/>
      <c r="N2" s="28"/>
    </row>
    <row r="3" spans="1:14" ht="18.75" customHeight="1" x14ac:dyDescent="0.3">
      <c r="A3" s="3" t="s">
        <v>355</v>
      </c>
      <c r="I3" s="6"/>
      <c r="L3" s="6"/>
      <c r="M3" s="6" t="str">
        <f>+'Attachment A - Base'!K3</f>
        <v>BPA #26-01</v>
      </c>
      <c r="N3" s="28"/>
    </row>
    <row r="4" spans="1:14" ht="20.100000000000001" customHeight="1" x14ac:dyDescent="0.3">
      <c r="A4" s="17">
        <f>+'Attachment A - Base'!A4</f>
        <v>46240</v>
      </c>
      <c r="M4" s="29"/>
      <c r="N4" s="29"/>
    </row>
    <row r="5" spans="1:14" x14ac:dyDescent="0.25">
      <c r="B5" s="158" t="s">
        <v>0</v>
      </c>
      <c r="C5" s="158"/>
      <c r="D5" s="158"/>
      <c r="E5" s="158"/>
      <c r="F5" s="158"/>
      <c r="G5" s="167" t="s">
        <v>1</v>
      </c>
      <c r="H5" s="167"/>
      <c r="I5" s="167"/>
      <c r="J5" s="167" t="s">
        <v>2</v>
      </c>
      <c r="K5" s="167"/>
      <c r="L5" s="167"/>
      <c r="M5" s="45" t="s">
        <v>3</v>
      </c>
    </row>
    <row r="6" spans="1:14" x14ac:dyDescent="0.25">
      <c r="B6" s="161" t="s">
        <v>335</v>
      </c>
      <c r="C6" s="161"/>
      <c r="D6" s="161"/>
      <c r="E6" s="161"/>
      <c r="F6" s="161"/>
      <c r="G6" s="168" t="s">
        <v>335</v>
      </c>
      <c r="H6" s="168"/>
      <c r="I6" s="168"/>
      <c r="J6" s="168" t="s">
        <v>335</v>
      </c>
      <c r="K6" s="168"/>
      <c r="L6" s="168"/>
      <c r="M6" s="46" t="s">
        <v>4</v>
      </c>
    </row>
    <row r="7" spans="1:14" x14ac:dyDescent="0.25">
      <c r="B7" s="1">
        <v>-1</v>
      </c>
      <c r="C7" s="1">
        <v>-2</v>
      </c>
      <c r="D7" s="1">
        <v>-3</v>
      </c>
      <c r="E7" s="1">
        <v>-4</v>
      </c>
      <c r="F7" s="30"/>
      <c r="G7" s="53">
        <v>-5</v>
      </c>
      <c r="H7" s="1">
        <v>-6</v>
      </c>
      <c r="I7" s="47"/>
      <c r="J7" s="53">
        <v>-7</v>
      </c>
      <c r="K7" s="1">
        <v>-8</v>
      </c>
      <c r="L7" s="47"/>
      <c r="M7" s="37"/>
    </row>
    <row r="8" spans="1:14" ht="75.75" thickBot="1" x14ac:dyDescent="0.3">
      <c r="A8" s="4"/>
      <c r="B8" s="5" t="s">
        <v>356</v>
      </c>
      <c r="C8" s="5" t="s">
        <v>357</v>
      </c>
      <c r="D8" s="5" t="s">
        <v>522</v>
      </c>
      <c r="E8" s="5" t="s">
        <v>545</v>
      </c>
      <c r="F8" s="49" t="s">
        <v>359</v>
      </c>
      <c r="G8" s="48" t="s">
        <v>356</v>
      </c>
      <c r="H8" s="44" t="s">
        <v>358</v>
      </c>
      <c r="I8" s="49" t="s">
        <v>359</v>
      </c>
      <c r="J8" s="48" t="s">
        <v>356</v>
      </c>
      <c r="K8" s="44" t="s">
        <v>358</v>
      </c>
      <c r="L8" s="49" t="s">
        <v>359</v>
      </c>
      <c r="M8" s="41" t="s">
        <v>4</v>
      </c>
    </row>
    <row r="9" spans="1:14" ht="19.149999999999999" customHeight="1" x14ac:dyDescent="0.25">
      <c r="A9" s="14"/>
      <c r="B9" s="14"/>
      <c r="C9" s="14"/>
      <c r="D9" s="14"/>
      <c r="E9" s="14"/>
      <c r="F9" s="42"/>
      <c r="G9" s="32" t="s">
        <v>146</v>
      </c>
      <c r="H9" s="116"/>
      <c r="I9" s="38"/>
      <c r="J9" s="32" t="s">
        <v>147</v>
      </c>
      <c r="K9" s="116"/>
      <c r="L9" s="38"/>
      <c r="M9" s="38"/>
    </row>
    <row r="10" spans="1:14" ht="17.45" customHeight="1" x14ac:dyDescent="0.25">
      <c r="A10" s="25" t="s">
        <v>9</v>
      </c>
      <c r="B10" s="7">
        <f>1645317-B17</f>
        <v>1268579</v>
      </c>
      <c r="C10" s="7"/>
      <c r="D10" s="7">
        <f>-100390+15312</f>
        <v>-85078</v>
      </c>
      <c r="E10" s="7"/>
      <c r="F10" s="43">
        <f>SUM(B10:E10)</f>
        <v>1183501</v>
      </c>
      <c r="G10" s="7">
        <f>+'Attachment E - Desig One-Time'!H9</f>
        <v>0</v>
      </c>
      <c r="H10" s="7"/>
      <c r="I10" s="50">
        <f>SUM(G10:H10)</f>
        <v>0</v>
      </c>
      <c r="J10" s="7">
        <f>'Attachment F - Fees One-Time'!J9</f>
        <v>0</v>
      </c>
      <c r="K10" s="7"/>
      <c r="L10" s="50">
        <f>SUM(J10:K10)</f>
        <v>0</v>
      </c>
      <c r="M10" s="50">
        <f t="shared" ref="M10:M17" si="0">+F10+I10+L10</f>
        <v>1183501</v>
      </c>
      <c r="N10" s="33"/>
    </row>
    <row r="11" spans="1:14" ht="17.45" customHeight="1" x14ac:dyDescent="0.25">
      <c r="A11" s="25" t="s">
        <v>10</v>
      </c>
      <c r="B11" s="7">
        <f>4586175-B16</f>
        <v>4180274</v>
      </c>
      <c r="C11" s="7"/>
      <c r="D11" s="7"/>
      <c r="E11" s="7">
        <v>1289447</v>
      </c>
      <c r="F11" s="43">
        <f t="shared" ref="F11:F17" si="1">SUM(B11:E11)</f>
        <v>5469721</v>
      </c>
      <c r="G11" s="7">
        <f>+'Attachment E - Desig One-Time'!H10</f>
        <v>4562177</v>
      </c>
      <c r="H11" s="7"/>
      <c r="I11" s="50">
        <f t="shared" ref="I11:I20" si="2">SUM(G11:H11)</f>
        <v>4562177</v>
      </c>
      <c r="J11" s="7">
        <f>'Attachment F - Fees One-Time'!J10</f>
        <v>2690136</v>
      </c>
      <c r="K11" s="7"/>
      <c r="L11" s="50">
        <f t="shared" ref="L11:L14" si="3">SUM(J11:K11)</f>
        <v>2690136</v>
      </c>
      <c r="M11" s="50">
        <f t="shared" si="0"/>
        <v>12722034</v>
      </c>
      <c r="N11" s="33"/>
    </row>
    <row r="12" spans="1:14" ht="17.45" customHeight="1" x14ac:dyDescent="0.25">
      <c r="A12" s="25" t="s">
        <v>11</v>
      </c>
      <c r="B12" s="7">
        <v>12277841</v>
      </c>
      <c r="C12" s="7"/>
      <c r="D12" s="7"/>
      <c r="E12" s="7"/>
      <c r="F12" s="43">
        <f t="shared" si="1"/>
        <v>12277841</v>
      </c>
      <c r="G12" s="7">
        <f>+'Attachment E - Desig One-Time'!H11</f>
        <v>224165</v>
      </c>
      <c r="H12" s="7"/>
      <c r="I12" s="50">
        <f t="shared" si="2"/>
        <v>224165</v>
      </c>
      <c r="J12" s="7">
        <f>'Attachment F - Fees One-Time'!J11</f>
        <v>33</v>
      </c>
      <c r="K12" s="7"/>
      <c r="L12" s="50">
        <f t="shared" si="3"/>
        <v>33</v>
      </c>
      <c r="M12" s="50">
        <f t="shared" si="0"/>
        <v>12502039</v>
      </c>
      <c r="N12" s="33"/>
    </row>
    <row r="13" spans="1:14" ht="17.45" customHeight="1" x14ac:dyDescent="0.25">
      <c r="A13" s="25" t="s">
        <v>12</v>
      </c>
      <c r="B13" s="7">
        <v>1495744</v>
      </c>
      <c r="C13" s="7">
        <v>-2100</v>
      </c>
      <c r="D13" s="7"/>
      <c r="E13" s="7"/>
      <c r="F13" s="43">
        <f t="shared" si="1"/>
        <v>1493644</v>
      </c>
      <c r="G13" s="7">
        <f>+'Attachment E - Desig One-Time'!H12</f>
        <v>93076</v>
      </c>
      <c r="H13" s="7"/>
      <c r="I13" s="50">
        <f t="shared" si="2"/>
        <v>93076</v>
      </c>
      <c r="J13" s="7">
        <f>'Attachment F - Fees One-Time'!J12</f>
        <v>966821</v>
      </c>
      <c r="K13" s="7">
        <v>2100</v>
      </c>
      <c r="L13" s="50">
        <f t="shared" si="3"/>
        <v>968921</v>
      </c>
      <c r="M13" s="50">
        <f t="shared" si="0"/>
        <v>2555641</v>
      </c>
      <c r="N13" s="33"/>
    </row>
    <row r="14" spans="1:14" ht="17.45" customHeight="1" x14ac:dyDescent="0.25">
      <c r="A14" s="25" t="s">
        <v>13</v>
      </c>
      <c r="B14" s="7">
        <v>2084048</v>
      </c>
      <c r="C14" s="7">
        <f>-13+2100</f>
        <v>2087</v>
      </c>
      <c r="D14" s="7"/>
      <c r="E14" s="7"/>
      <c r="F14" s="43">
        <f t="shared" si="1"/>
        <v>2086135</v>
      </c>
      <c r="G14" s="7">
        <f>+'Attachment E - Desig One-Time'!H13</f>
        <v>6320369</v>
      </c>
      <c r="H14" s="7">
        <v>13</v>
      </c>
      <c r="I14" s="50">
        <f t="shared" si="2"/>
        <v>6320382</v>
      </c>
      <c r="J14" s="7">
        <f>'Attachment F - Fees One-Time'!J13</f>
        <v>7407456</v>
      </c>
      <c r="K14" s="7">
        <v>-2100</v>
      </c>
      <c r="L14" s="50">
        <f t="shared" si="3"/>
        <v>7405356</v>
      </c>
      <c r="M14" s="50">
        <f t="shared" si="0"/>
        <v>15811873</v>
      </c>
      <c r="N14" s="33"/>
    </row>
    <row r="15" spans="1:14" ht="17.45" customHeight="1" x14ac:dyDescent="0.25">
      <c r="A15" s="25" t="s">
        <v>14</v>
      </c>
      <c r="B15" s="7">
        <v>2256950</v>
      </c>
      <c r="C15" s="7"/>
      <c r="D15" s="7">
        <f>100390-15312</f>
        <v>85078</v>
      </c>
      <c r="E15" s="7"/>
      <c r="F15" s="43">
        <f t="shared" si="1"/>
        <v>2342028</v>
      </c>
      <c r="G15" s="7">
        <f>+'Attachment E - Desig One-Time'!H14</f>
        <v>817</v>
      </c>
      <c r="H15" s="7"/>
      <c r="I15" s="50">
        <f>SUM(G15:H15)</f>
        <v>817</v>
      </c>
      <c r="J15" s="7">
        <f>'Attachment F - Fees One-Time'!J14</f>
        <v>98145</v>
      </c>
      <c r="K15" s="7"/>
      <c r="L15" s="50">
        <f>SUM(J15:K15)</f>
        <v>98145</v>
      </c>
      <c r="M15" s="50">
        <f t="shared" si="0"/>
        <v>2440990</v>
      </c>
      <c r="N15" s="33"/>
    </row>
    <row r="16" spans="1:14" ht="17.45" customHeight="1" x14ac:dyDescent="0.25">
      <c r="A16" s="25" t="s">
        <v>507</v>
      </c>
      <c r="B16" s="7">
        <v>405901</v>
      </c>
      <c r="C16" s="7">
        <v>-4</v>
      </c>
      <c r="D16" s="7"/>
      <c r="E16" s="7"/>
      <c r="F16" s="43">
        <f t="shared" si="1"/>
        <v>405897</v>
      </c>
      <c r="G16" s="7">
        <f>+'Attachment E - Desig One-Time'!H15</f>
        <v>28117</v>
      </c>
      <c r="H16" s="7">
        <v>4</v>
      </c>
      <c r="I16" s="50">
        <f>SUM(G16:H16)</f>
        <v>28121</v>
      </c>
      <c r="J16" s="7">
        <f>'Attachment F - Fees One-Time'!J15</f>
        <v>176145</v>
      </c>
      <c r="K16" s="7"/>
      <c r="L16" s="50">
        <f>SUM(J16:K16)</f>
        <v>176145</v>
      </c>
      <c r="M16" s="50">
        <f t="shared" si="0"/>
        <v>610163</v>
      </c>
      <c r="N16" s="33"/>
    </row>
    <row r="17" spans="1:14" ht="17.45" customHeight="1" x14ac:dyDescent="0.25">
      <c r="A17" s="25" t="s">
        <v>508</v>
      </c>
      <c r="B17" s="7">
        <v>376738</v>
      </c>
      <c r="C17" s="7"/>
      <c r="D17" s="7"/>
      <c r="E17" s="7"/>
      <c r="F17" s="43">
        <f t="shared" si="1"/>
        <v>376738</v>
      </c>
      <c r="G17" s="7">
        <f>+'Attachment E - Desig One-Time'!H16</f>
        <v>0</v>
      </c>
      <c r="H17" s="7"/>
      <c r="I17" s="50">
        <f>SUM(G17:H17)</f>
        <v>0</v>
      </c>
      <c r="J17" s="7">
        <f>'Attachment F - Fees One-Time'!J16</f>
        <v>0</v>
      </c>
      <c r="K17" s="7"/>
      <c r="L17" s="50">
        <f>SUM(J17:K17)</f>
        <v>0</v>
      </c>
      <c r="M17" s="50">
        <f t="shared" si="0"/>
        <v>376738</v>
      </c>
      <c r="N17" s="33"/>
    </row>
    <row r="18" spans="1:14" ht="17.25" customHeight="1" x14ac:dyDescent="0.25">
      <c r="A18" s="51" t="s">
        <v>15</v>
      </c>
      <c r="B18" s="8">
        <f t="shared" ref="B18:L18" si="4">SUM(B10:B17)</f>
        <v>24346075</v>
      </c>
      <c r="C18" s="8">
        <f t="shared" si="4"/>
        <v>-17</v>
      </c>
      <c r="D18" s="8">
        <f t="shared" si="4"/>
        <v>0</v>
      </c>
      <c r="E18" s="8">
        <f t="shared" si="4"/>
        <v>1289447</v>
      </c>
      <c r="F18" s="39">
        <f t="shared" si="4"/>
        <v>25635505</v>
      </c>
      <c r="G18" s="8">
        <f t="shared" si="4"/>
        <v>11228721</v>
      </c>
      <c r="H18" s="8">
        <f t="shared" si="4"/>
        <v>17</v>
      </c>
      <c r="I18" s="39">
        <f t="shared" si="4"/>
        <v>11228738</v>
      </c>
      <c r="J18" s="8">
        <f t="shared" si="4"/>
        <v>11338736</v>
      </c>
      <c r="K18" s="8">
        <f t="shared" si="4"/>
        <v>0</v>
      </c>
      <c r="L18" s="39">
        <f t="shared" si="4"/>
        <v>11338736</v>
      </c>
      <c r="M18" s="39">
        <f>SUM(M10:M17)</f>
        <v>48202979</v>
      </c>
    </row>
    <row r="19" spans="1:14" ht="17.45" customHeight="1" x14ac:dyDescent="0.25">
      <c r="A19" s="25" t="s">
        <v>16</v>
      </c>
      <c r="B19" s="115">
        <v>5515154</v>
      </c>
      <c r="C19" s="115"/>
      <c r="D19" s="115"/>
      <c r="E19" s="115"/>
      <c r="F19" s="43">
        <f>SUM(B19:E19)</f>
        <v>5515154</v>
      </c>
      <c r="G19" s="7">
        <f>+'Attachment E - Desig One-Time'!H18</f>
        <v>0</v>
      </c>
      <c r="H19" s="115"/>
      <c r="I19" s="50">
        <f t="shared" si="2"/>
        <v>0</v>
      </c>
      <c r="J19" s="7">
        <f>'Attachment F - Fees One-Time'!J18</f>
        <v>25427</v>
      </c>
      <c r="K19" s="115"/>
      <c r="L19" s="50">
        <f t="shared" ref="L19:L20" si="5">SUM(J19:K19)</f>
        <v>25427</v>
      </c>
      <c r="M19" s="50">
        <f>+F19+I19+L19</f>
        <v>5540581</v>
      </c>
      <c r="N19" s="34"/>
    </row>
    <row r="20" spans="1:14" ht="17.45" customHeight="1" x14ac:dyDescent="0.25">
      <c r="A20" s="25" t="s">
        <v>17</v>
      </c>
      <c r="B20" s="7">
        <f>124509350+2-B19</f>
        <v>118994198</v>
      </c>
      <c r="C20" s="7"/>
      <c r="D20" s="7"/>
      <c r="E20" s="7">
        <v>-1289447</v>
      </c>
      <c r="F20" s="43">
        <f>SUM(B20:E20)</f>
        <v>117704751</v>
      </c>
      <c r="G20" s="7">
        <f>+'Attachment E - Desig One-Time'!H19</f>
        <v>11135026</v>
      </c>
      <c r="H20" s="7"/>
      <c r="I20" s="50">
        <f t="shared" si="2"/>
        <v>11135026</v>
      </c>
      <c r="J20" s="7">
        <f>'Attachment F - Fees One-Time'!J19</f>
        <v>884000</v>
      </c>
      <c r="K20" s="7"/>
      <c r="L20" s="50">
        <f t="shared" si="5"/>
        <v>884000</v>
      </c>
      <c r="M20" s="50">
        <f>+F20+I20+L20</f>
        <v>129723777</v>
      </c>
      <c r="N20" s="33"/>
    </row>
    <row r="21" spans="1:14" ht="18" customHeight="1" thickBot="1" x14ac:dyDescent="0.3">
      <c r="A21" s="52" t="s">
        <v>18</v>
      </c>
      <c r="B21" s="11">
        <f>SUM(B18:B20)</f>
        <v>148855427</v>
      </c>
      <c r="C21" s="11">
        <f>SUM(C18:C20)</f>
        <v>-17</v>
      </c>
      <c r="D21" s="11">
        <f>SUM(D18:D20)</f>
        <v>0</v>
      </c>
      <c r="E21" s="11">
        <f>SUM(E18:E20)</f>
        <v>0</v>
      </c>
      <c r="F21" s="40">
        <f>SUM(F18:F20)</f>
        <v>148855410</v>
      </c>
      <c r="G21" s="11">
        <f t="shared" ref="G21:I21" si="6">SUM(G18:G20)</f>
        <v>22363747</v>
      </c>
      <c r="H21" s="11">
        <f t="shared" ref="H21" si="7">SUM(H18:H20)</f>
        <v>17</v>
      </c>
      <c r="I21" s="40">
        <f t="shared" si="6"/>
        <v>22363764</v>
      </c>
      <c r="J21" s="11">
        <f t="shared" ref="J21:L21" si="8">SUM(J18:J20)</f>
        <v>12248163</v>
      </c>
      <c r="K21" s="11">
        <f t="shared" si="8"/>
        <v>0</v>
      </c>
      <c r="L21" s="40">
        <f t="shared" si="8"/>
        <v>12248163</v>
      </c>
      <c r="M21" s="40">
        <f>SUM(M18:M20)</f>
        <v>183467337</v>
      </c>
    </row>
    <row r="22" spans="1:14" x14ac:dyDescent="0.25">
      <c r="A22" s="35"/>
    </row>
    <row r="23" spans="1:14" x14ac:dyDescent="0.25">
      <c r="A23" s="2" t="s">
        <v>521</v>
      </c>
    </row>
    <row r="24" spans="1:14" x14ac:dyDescent="0.25">
      <c r="A24" s="2" t="s">
        <v>525</v>
      </c>
    </row>
    <row r="25" spans="1:14" x14ac:dyDescent="0.25">
      <c r="A25" s="2" t="s">
        <v>509</v>
      </c>
    </row>
    <row r="26" spans="1:14" x14ac:dyDescent="0.25">
      <c r="A26" s="2" t="s">
        <v>524</v>
      </c>
    </row>
    <row r="27" spans="1:14" x14ac:dyDescent="0.25">
      <c r="A27" s="88" t="s">
        <v>544</v>
      </c>
    </row>
    <row r="28" spans="1:14" x14ac:dyDescent="0.25">
      <c r="A28" s="88" t="s">
        <v>550</v>
      </c>
    </row>
    <row r="29" spans="1:14" x14ac:dyDescent="0.25">
      <c r="A29" s="2" t="s">
        <v>546</v>
      </c>
    </row>
    <row r="30" spans="1:14" x14ac:dyDescent="0.25">
      <c r="A30" s="2" t="s">
        <v>547</v>
      </c>
    </row>
    <row r="31" spans="1:14" x14ac:dyDescent="0.25">
      <c r="A31" s="2" t="s">
        <v>524</v>
      </c>
    </row>
    <row r="32" spans="1:14" x14ac:dyDescent="0.25">
      <c r="A32" s="2" t="s">
        <v>548</v>
      </c>
    </row>
    <row r="33" spans="1:1" x14ac:dyDescent="0.25">
      <c r="A33" s="2" t="s">
        <v>549</v>
      </c>
    </row>
    <row r="34" spans="1:1" x14ac:dyDescent="0.25">
      <c r="A34" s="72"/>
    </row>
    <row r="41" spans="1:1" ht="13.9" customHeight="1" x14ac:dyDescent="0.25"/>
    <row r="42" spans="1:1" ht="13.9" customHeight="1" x14ac:dyDescent="0.25"/>
  </sheetData>
  <mergeCells count="6">
    <mergeCell ref="B5:F5"/>
    <mergeCell ref="G5:I5"/>
    <mergeCell ref="B6:F6"/>
    <mergeCell ref="G6:I6"/>
    <mergeCell ref="J5:L5"/>
    <mergeCell ref="J6:L6"/>
  </mergeCells>
  <printOptions horizontalCentered="1"/>
  <pageMargins left="0.5" right="0.5" top="0.5" bottom="0.5" header="0.3" footer="0.3"/>
  <pageSetup scale="67" orientation="landscape" r:id="rId1"/>
  <headerFooter>
    <oddFooter>&amp;L&amp;8&amp;D&amp;C&amp;8&amp;P&amp;R&amp;8&amp;A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2A2A-9B96-484F-AFBB-55D473C10BCA}">
  <sheetPr>
    <tabColor theme="9"/>
    <pageSetUpPr fitToPage="1"/>
  </sheetPr>
  <dimension ref="A1:M73"/>
  <sheetViews>
    <sheetView workbookViewId="0"/>
  </sheetViews>
  <sheetFormatPr defaultColWidth="8.85546875" defaultRowHeight="15" x14ac:dyDescent="0.25"/>
  <cols>
    <col min="1" max="1" width="25.7109375" style="2" customWidth="1"/>
    <col min="2" max="6" width="12.28515625" style="1" customWidth="1"/>
    <col min="7" max="7" width="14.28515625" style="1" customWidth="1"/>
    <col min="8" max="9" width="15.42578125" style="1" customWidth="1"/>
    <col min="10" max="10" width="13.5703125" style="2" customWidth="1"/>
    <col min="11" max="20" width="14" style="2" customWidth="1"/>
    <col min="21" max="16384" width="8.85546875" style="2"/>
  </cols>
  <sheetData>
    <row r="1" spans="1:9" ht="25.9" customHeight="1" x14ac:dyDescent="0.4">
      <c r="A1" s="3"/>
      <c r="G1" s="26"/>
      <c r="H1" s="26"/>
      <c r="I1" s="26"/>
    </row>
    <row r="2" spans="1:9" ht="25.9" customHeight="1" x14ac:dyDescent="0.3">
      <c r="A2" s="3"/>
    </row>
    <row r="3" spans="1:9" ht="18.75" customHeight="1" x14ac:dyDescent="0.3">
      <c r="A3" s="3" t="s">
        <v>361</v>
      </c>
      <c r="I3" s="6" t="str">
        <f>+'Attachment A - Base'!K3</f>
        <v>BPA #26-01</v>
      </c>
    </row>
    <row r="4" spans="1:9" ht="20.100000000000001" customHeight="1" x14ac:dyDescent="0.25">
      <c r="A4" s="17">
        <f>+'Attachment A - Base'!A4</f>
        <v>46240</v>
      </c>
    </row>
    <row r="5" spans="1:9" x14ac:dyDescent="0.25">
      <c r="B5" s="169" t="s">
        <v>148</v>
      </c>
      <c r="C5" s="169"/>
      <c r="D5" s="169"/>
      <c r="E5" s="169"/>
      <c r="F5" s="169"/>
      <c r="G5" s="169"/>
      <c r="H5" s="2"/>
      <c r="I5" s="2"/>
    </row>
    <row r="6" spans="1:9" x14ac:dyDescent="0.25">
      <c r="B6" s="1">
        <v>-1</v>
      </c>
      <c r="C6" s="1">
        <v>-2</v>
      </c>
      <c r="D6" s="1">
        <v>-3</v>
      </c>
      <c r="E6" s="1">
        <v>-4</v>
      </c>
      <c r="F6" s="36" t="s">
        <v>149</v>
      </c>
      <c r="G6" s="1">
        <v>-6</v>
      </c>
      <c r="H6" s="19"/>
      <c r="I6" s="2"/>
    </row>
    <row r="7" spans="1:9" ht="45.75" thickBot="1" x14ac:dyDescent="0.3">
      <c r="A7" s="4"/>
      <c r="B7" s="5" t="s">
        <v>150</v>
      </c>
      <c r="C7" s="153" t="s">
        <v>36</v>
      </c>
      <c r="D7" s="153" t="s">
        <v>376</v>
      </c>
      <c r="E7" s="153" t="s">
        <v>151</v>
      </c>
      <c r="F7" s="153" t="s">
        <v>180</v>
      </c>
      <c r="G7" s="153" t="s">
        <v>165</v>
      </c>
      <c r="H7" s="20" t="s">
        <v>362</v>
      </c>
      <c r="I7" s="2"/>
    </row>
    <row r="8" spans="1:9" ht="19.149999999999999" customHeight="1" x14ac:dyDescent="0.25">
      <c r="A8" s="14"/>
      <c r="B8" s="16"/>
      <c r="C8" s="16"/>
      <c r="D8" s="16"/>
      <c r="E8" s="16"/>
      <c r="F8" s="16"/>
      <c r="G8" s="15"/>
      <c r="H8" s="21"/>
      <c r="I8" s="2"/>
    </row>
    <row r="9" spans="1:9" ht="19.149999999999999" customHeight="1" x14ac:dyDescent="0.25">
      <c r="A9" s="2" t="s">
        <v>9</v>
      </c>
      <c r="B9" s="73"/>
      <c r="C9" s="73"/>
      <c r="D9" s="73"/>
      <c r="E9" s="73">
        <f>SUM(B46,B48)</f>
        <v>0</v>
      </c>
      <c r="F9" s="73"/>
      <c r="G9" s="73">
        <f>SUM(B34:B45,B47,B58:B61,B63:B68)</f>
        <v>0</v>
      </c>
      <c r="H9" s="22">
        <f>SUM(B9:G9)</f>
        <v>0</v>
      </c>
      <c r="I9" s="2"/>
    </row>
    <row r="10" spans="1:9" ht="19.149999999999999" customHeight="1" x14ac:dyDescent="0.25">
      <c r="A10" s="2" t="s">
        <v>10</v>
      </c>
      <c r="B10" s="73">
        <f>SUMIFS($C$34:$C$68,$L$34:$L$68,B$7)</f>
        <v>1111606</v>
      </c>
      <c r="C10" s="73">
        <f>SUMIFS($C$34:$C$68,$L$34:$L$68,C$7)</f>
        <v>2100186</v>
      </c>
      <c r="D10" s="73">
        <f>SUMIFS($C$34:$C$68,$L$34:$L$68,D$7)</f>
        <v>28772</v>
      </c>
      <c r="E10" s="73">
        <f>SUMIFS($C$34:$C$68,$L$34:$L$68,E$7)</f>
        <v>386640</v>
      </c>
      <c r="F10" s="73"/>
      <c r="G10" s="73">
        <f>SUMIFS($C$34:$C$68,$L$34:$L$68,G$7)</f>
        <v>934973</v>
      </c>
      <c r="H10" s="22">
        <f t="shared" ref="H10:H13" si="0">SUM(B10:G10)</f>
        <v>4562177</v>
      </c>
      <c r="I10" s="2"/>
    </row>
    <row r="11" spans="1:9" ht="19.149999999999999" customHeight="1" x14ac:dyDescent="0.25">
      <c r="A11" s="2" t="s">
        <v>11</v>
      </c>
      <c r="B11" s="73"/>
      <c r="C11" s="73">
        <f>SUM(D49,D51:D55)</f>
        <v>0</v>
      </c>
      <c r="D11" s="73"/>
      <c r="E11" s="73">
        <f>SUM(D46,D48)</f>
        <v>0</v>
      </c>
      <c r="F11" s="73">
        <f>SUM(D56:D57)</f>
        <v>0</v>
      </c>
      <c r="G11" s="73">
        <f>SUMIFS($D$34:$D$68,$L$34:$L$68,G$7)</f>
        <v>224165</v>
      </c>
      <c r="H11" s="22">
        <f t="shared" si="0"/>
        <v>224165</v>
      </c>
      <c r="I11" s="2"/>
    </row>
    <row r="12" spans="1:9" ht="19.149999999999999" customHeight="1" x14ac:dyDescent="0.25">
      <c r="A12" s="2" t="s">
        <v>12</v>
      </c>
      <c r="B12" s="73"/>
      <c r="C12" s="73">
        <f>SUMIFS($E$34:$E$68,$L$34:$L$68,C$7)</f>
        <v>93076</v>
      </c>
      <c r="D12" s="73"/>
      <c r="E12" s="73"/>
      <c r="F12" s="73"/>
      <c r="G12" s="73">
        <f>SUM(E34:E45,E47,E58:E61,E63:E68)</f>
        <v>0</v>
      </c>
      <c r="H12" s="22">
        <f t="shared" si="0"/>
        <v>93076</v>
      </c>
      <c r="I12" s="2"/>
    </row>
    <row r="13" spans="1:9" ht="19.149999999999999" customHeight="1" x14ac:dyDescent="0.25">
      <c r="A13" s="2" t="s">
        <v>13</v>
      </c>
      <c r="B13" s="73"/>
      <c r="C13" s="73">
        <f>SUMIFS($F$34:$F$68,$L$34:$L$68,C$7)</f>
        <v>3889080</v>
      </c>
      <c r="D13" s="73"/>
      <c r="E13" s="73">
        <f>SUMIFS($F$34:$F$68,$L$34:$L$68,E$7)</f>
        <v>412278</v>
      </c>
      <c r="F13" s="73">
        <f>SUMIFS($F$34:$F$68,$L$34:$L$68,F$7)</f>
        <v>895473</v>
      </c>
      <c r="G13" s="73">
        <f>SUMIFS($F$34:$F$68,$L$34:$L$68,G$7)</f>
        <v>1123538</v>
      </c>
      <c r="H13" s="22">
        <f t="shared" si="0"/>
        <v>6320369</v>
      </c>
      <c r="I13" s="2"/>
    </row>
    <row r="14" spans="1:9" ht="19.149999999999999" customHeight="1" x14ac:dyDescent="0.25">
      <c r="A14" s="2" t="s">
        <v>14</v>
      </c>
      <c r="B14" s="73"/>
      <c r="C14" s="73"/>
      <c r="D14" s="73"/>
      <c r="E14" s="73"/>
      <c r="F14" s="73"/>
      <c r="G14" s="73">
        <f>SUMIFS($G$34:$G$68,$L$34:$L$68,G$7)</f>
        <v>817</v>
      </c>
      <c r="H14" s="22">
        <f>SUM(B14:G14)</f>
        <v>817</v>
      </c>
      <c r="I14" s="2"/>
    </row>
    <row r="15" spans="1:9" ht="19.149999999999999" customHeight="1" x14ac:dyDescent="0.25">
      <c r="A15" s="2" t="s">
        <v>507</v>
      </c>
      <c r="B15" s="73"/>
      <c r="C15" s="73">
        <f>SUMIFS($H$34:$H$68,$L$34:$L$68,C$7)</f>
        <v>21128</v>
      </c>
      <c r="D15" s="73"/>
      <c r="E15" s="73">
        <f>SUMIFS($H$34:$H$68,$L$34:$L$68,E$7)</f>
        <v>-5262</v>
      </c>
      <c r="F15" s="73"/>
      <c r="G15" s="73">
        <f>SUMIFS($H$34:$H$68,$L$34:$L$68,G$7)</f>
        <v>12251</v>
      </c>
      <c r="H15" s="22">
        <f>SUM(B15:G15)</f>
        <v>28117</v>
      </c>
      <c r="I15" s="2"/>
    </row>
    <row r="16" spans="1:9" ht="19.149999999999999" customHeight="1" x14ac:dyDescent="0.25">
      <c r="A16" s="2" t="s">
        <v>508</v>
      </c>
      <c r="B16" s="73"/>
      <c r="C16" s="73"/>
      <c r="D16" s="73"/>
      <c r="E16" s="73"/>
      <c r="F16" s="73"/>
      <c r="G16" s="73"/>
      <c r="H16" s="22">
        <f>SUM(B16:G16)</f>
        <v>0</v>
      </c>
      <c r="I16" s="2"/>
    </row>
    <row r="17" spans="1:12" ht="19.149999999999999" customHeight="1" x14ac:dyDescent="0.25">
      <c r="A17" s="9" t="s">
        <v>15</v>
      </c>
      <c r="B17" s="8">
        <f t="shared" ref="B17:H17" si="1">SUM(B9:B16)</f>
        <v>1111606</v>
      </c>
      <c r="C17" s="8">
        <f t="shared" si="1"/>
        <v>6103470</v>
      </c>
      <c r="D17" s="8">
        <f t="shared" si="1"/>
        <v>28772</v>
      </c>
      <c r="E17" s="8">
        <f t="shared" si="1"/>
        <v>793656</v>
      </c>
      <c r="F17" s="8">
        <f t="shared" si="1"/>
        <v>895473</v>
      </c>
      <c r="G17" s="8">
        <f t="shared" si="1"/>
        <v>2295744</v>
      </c>
      <c r="H17" s="23">
        <f t="shared" si="1"/>
        <v>11228721</v>
      </c>
      <c r="I17" s="2"/>
    </row>
    <row r="18" spans="1:12" ht="19.149999999999999" customHeight="1" x14ac:dyDescent="0.25">
      <c r="A18" s="2" t="s">
        <v>16</v>
      </c>
      <c r="B18" s="18"/>
      <c r="G18" s="7"/>
      <c r="H18" s="22">
        <f>SUM(B18:G18)</f>
        <v>0</v>
      </c>
      <c r="I18" s="2"/>
      <c r="J18" s="2" t="s">
        <v>152</v>
      </c>
    </row>
    <row r="19" spans="1:12" ht="19.149999999999999" customHeight="1" x14ac:dyDescent="0.25">
      <c r="A19" s="2" t="s">
        <v>17</v>
      </c>
      <c r="B19" s="7"/>
      <c r="C19" s="7"/>
      <c r="D19" s="7"/>
      <c r="E19" s="7"/>
      <c r="F19" s="7"/>
      <c r="G19" s="7">
        <f>J69</f>
        <v>11135026</v>
      </c>
      <c r="H19" s="22">
        <f>SUM(B19:G19)</f>
        <v>11135026</v>
      </c>
      <c r="I19" s="2"/>
    </row>
    <row r="20" spans="1:12" ht="15" customHeight="1" thickBot="1" x14ac:dyDescent="0.3">
      <c r="A20" s="10" t="s">
        <v>18</v>
      </c>
      <c r="B20" s="11">
        <f t="shared" ref="B20:H20" si="2">SUM(B17:B19)</f>
        <v>1111606</v>
      </c>
      <c r="C20" s="11">
        <f>SUM(C17:C19)</f>
        <v>6103470</v>
      </c>
      <c r="D20" s="11">
        <f t="shared" ref="D20:G20" si="3">SUM(D17:D19)</f>
        <v>28772</v>
      </c>
      <c r="E20" s="11">
        <f t="shared" si="3"/>
        <v>793656</v>
      </c>
      <c r="F20" s="11">
        <f t="shared" si="3"/>
        <v>895473</v>
      </c>
      <c r="G20" s="11">
        <f t="shared" si="3"/>
        <v>13430770</v>
      </c>
      <c r="H20" s="24">
        <f t="shared" si="2"/>
        <v>22363747</v>
      </c>
      <c r="I20" s="2"/>
    </row>
    <row r="21" spans="1:12" ht="15" customHeight="1" x14ac:dyDescent="0.25">
      <c r="A21" s="12"/>
      <c r="B21" s="12"/>
      <c r="C21" s="13"/>
      <c r="D21" s="13"/>
      <c r="E21" s="13"/>
      <c r="F21" s="13"/>
      <c r="G21" s="81"/>
      <c r="H21" s="13"/>
      <c r="I21" s="13"/>
    </row>
    <row r="22" spans="1:12" ht="15" customHeight="1" x14ac:dyDescent="0.25">
      <c r="A22" s="2" t="s">
        <v>153</v>
      </c>
      <c r="B22" s="12"/>
      <c r="C22" s="13"/>
      <c r="D22" s="13"/>
      <c r="E22" s="13"/>
      <c r="F22" s="13"/>
      <c r="G22" s="13"/>
      <c r="H22" s="13"/>
      <c r="I22" s="13"/>
    </row>
    <row r="23" spans="1:12" ht="13.9" customHeight="1" x14ac:dyDescent="0.25">
      <c r="A23" s="2" t="s">
        <v>154</v>
      </c>
    </row>
    <row r="24" spans="1:12" x14ac:dyDescent="0.25">
      <c r="A24" s="2" t="s">
        <v>155</v>
      </c>
    </row>
    <row r="25" spans="1:12" x14ac:dyDescent="0.25">
      <c r="A25" s="2" t="s">
        <v>156</v>
      </c>
    </row>
    <row r="26" spans="1:12" x14ac:dyDescent="0.25">
      <c r="A26" s="2" t="s">
        <v>157</v>
      </c>
    </row>
    <row r="27" spans="1:12" x14ac:dyDescent="0.25">
      <c r="A27" s="2" t="s">
        <v>377</v>
      </c>
    </row>
    <row r="28" spans="1:12" x14ac:dyDescent="0.25">
      <c r="A28" s="2" t="s">
        <v>158</v>
      </c>
    </row>
    <row r="29" spans="1:12" ht="13.9" customHeight="1" x14ac:dyDescent="0.25"/>
    <row r="30" spans="1:12" x14ac:dyDescent="0.25">
      <c r="A30" s="2" t="s">
        <v>159</v>
      </c>
      <c r="J30" s="1"/>
      <c r="K30" s="1"/>
    </row>
    <row r="31" spans="1:12" x14ac:dyDescent="0.25">
      <c r="J31" s="1"/>
      <c r="K31" s="1"/>
      <c r="L31" s="1"/>
    </row>
    <row r="32" spans="1:12" x14ac:dyDescent="0.25">
      <c r="A32" s="57" t="s">
        <v>22</v>
      </c>
      <c r="B32" s="58" t="s">
        <v>23</v>
      </c>
      <c r="C32" s="58" t="s">
        <v>24</v>
      </c>
      <c r="D32" s="58" t="s">
        <v>160</v>
      </c>
      <c r="E32" s="58" t="s">
        <v>12</v>
      </c>
      <c r="F32" s="58" t="s">
        <v>25</v>
      </c>
      <c r="G32" s="58" t="s">
        <v>161</v>
      </c>
      <c r="H32" s="58" t="s">
        <v>517</v>
      </c>
      <c r="I32" s="58" t="s">
        <v>519</v>
      </c>
      <c r="J32" s="58" t="s">
        <v>161</v>
      </c>
      <c r="K32" s="58" t="s">
        <v>26</v>
      </c>
      <c r="L32" s="58" t="s">
        <v>162</v>
      </c>
    </row>
    <row r="33" spans="1:13" x14ac:dyDescent="0.25">
      <c r="A33" s="59"/>
      <c r="B33" s="60" t="s">
        <v>27</v>
      </c>
      <c r="C33" s="60" t="s">
        <v>28</v>
      </c>
      <c r="D33" s="60" t="s">
        <v>28</v>
      </c>
      <c r="E33" s="60"/>
      <c r="F33" s="60" t="s">
        <v>28</v>
      </c>
      <c r="G33" s="60" t="s">
        <v>163</v>
      </c>
      <c r="H33" s="60" t="s">
        <v>518</v>
      </c>
      <c r="I33" s="60" t="s">
        <v>520</v>
      </c>
      <c r="J33" s="60"/>
      <c r="K33" s="60"/>
      <c r="L33" s="60"/>
    </row>
    <row r="34" spans="1:13" x14ac:dyDescent="0.25">
      <c r="A34" s="33" t="s">
        <v>164</v>
      </c>
      <c r="B34" s="25"/>
      <c r="C34" s="25">
        <v>20096</v>
      </c>
      <c r="D34" s="25"/>
      <c r="E34" s="25"/>
      <c r="F34" s="25"/>
      <c r="G34" s="25"/>
      <c r="H34" s="25"/>
      <c r="I34" s="25"/>
      <c r="J34" s="25">
        <v>0</v>
      </c>
      <c r="K34" s="136">
        <f>SUM(B34:J34)</f>
        <v>20096</v>
      </c>
      <c r="L34" s="2" t="s">
        <v>165</v>
      </c>
    </row>
    <row r="35" spans="1:13" x14ac:dyDescent="0.25">
      <c r="A35" s="33" t="s">
        <v>166</v>
      </c>
      <c r="B35" s="25"/>
      <c r="C35" s="25">
        <v>17633</v>
      </c>
      <c r="D35" s="25"/>
      <c r="E35" s="25"/>
      <c r="F35" s="25"/>
      <c r="G35" s="25"/>
      <c r="H35" s="25"/>
      <c r="I35" s="25"/>
      <c r="J35" s="25">
        <v>-3567</v>
      </c>
      <c r="K35" s="136">
        <f t="shared" ref="K35:K68" si="4">SUM(B35:J35)</f>
        <v>14066</v>
      </c>
      <c r="L35" s="2" t="s">
        <v>165</v>
      </c>
    </row>
    <row r="36" spans="1:13" x14ac:dyDescent="0.25">
      <c r="A36" s="33" t="s">
        <v>167</v>
      </c>
      <c r="B36" s="25"/>
      <c r="C36" s="25"/>
      <c r="D36" s="25"/>
      <c r="E36" s="25"/>
      <c r="F36" s="25">
        <v>18054</v>
      </c>
      <c r="G36" s="25"/>
      <c r="H36" s="25"/>
      <c r="I36" s="25"/>
      <c r="J36" s="25"/>
      <c r="K36" s="136">
        <f t="shared" si="4"/>
        <v>18054</v>
      </c>
      <c r="L36" s="2" t="s">
        <v>165</v>
      </c>
    </row>
    <row r="37" spans="1:13" x14ac:dyDescent="0.25">
      <c r="A37" s="33" t="s">
        <v>168</v>
      </c>
      <c r="B37" s="25">
        <v>0</v>
      </c>
      <c r="C37" s="25"/>
      <c r="D37" s="25"/>
      <c r="E37" s="25"/>
      <c r="F37" s="25"/>
      <c r="G37" s="25"/>
      <c r="H37" s="25"/>
      <c r="I37" s="25"/>
      <c r="J37" s="25"/>
      <c r="K37" s="136">
        <f t="shared" si="4"/>
        <v>0</v>
      </c>
      <c r="L37" s="2" t="s">
        <v>165</v>
      </c>
    </row>
    <row r="38" spans="1:13" x14ac:dyDescent="0.25">
      <c r="A38" s="33" t="s">
        <v>169</v>
      </c>
      <c r="B38" s="25"/>
      <c r="C38" s="25"/>
      <c r="D38" s="25">
        <v>224165</v>
      </c>
      <c r="E38" s="25"/>
      <c r="F38" s="25"/>
      <c r="G38" s="25"/>
      <c r="H38" s="25"/>
      <c r="I38" s="25"/>
      <c r="J38" s="25"/>
      <c r="K38" s="136">
        <f t="shared" si="4"/>
        <v>224165</v>
      </c>
      <c r="L38" s="2" t="s">
        <v>165</v>
      </c>
    </row>
    <row r="39" spans="1:13" x14ac:dyDescent="0.25">
      <c r="A39" s="33" t="s">
        <v>29</v>
      </c>
      <c r="B39" s="25"/>
      <c r="C39" s="25">
        <v>427438</v>
      </c>
      <c r="D39" s="25"/>
      <c r="E39" s="25"/>
      <c r="F39" s="25"/>
      <c r="G39" s="25"/>
      <c r="H39" s="25"/>
      <c r="I39" s="25"/>
      <c r="J39" s="25">
        <v>284348</v>
      </c>
      <c r="K39" s="136">
        <f t="shared" si="4"/>
        <v>711786</v>
      </c>
      <c r="L39" s="2" t="s">
        <v>165</v>
      </c>
    </row>
    <row r="40" spans="1:13" x14ac:dyDescent="0.25">
      <c r="A40" s="33" t="s">
        <v>170</v>
      </c>
      <c r="B40" s="25"/>
      <c r="C40" s="25">
        <f>-4-H40</f>
        <v>0</v>
      </c>
      <c r="D40" s="25"/>
      <c r="E40" s="25"/>
      <c r="F40" s="25">
        <v>-13</v>
      </c>
      <c r="G40" s="25"/>
      <c r="H40" s="25">
        <v>-4</v>
      </c>
      <c r="I40" s="25"/>
      <c r="J40" s="25">
        <v>24629</v>
      </c>
      <c r="K40" s="136">
        <f t="shared" si="4"/>
        <v>24612</v>
      </c>
      <c r="L40" s="2" t="s">
        <v>165</v>
      </c>
    </row>
    <row r="41" spans="1:13" x14ac:dyDescent="0.25">
      <c r="A41" s="33" t="s">
        <v>171</v>
      </c>
      <c r="B41" s="25"/>
      <c r="C41" s="25">
        <f>18-H41</f>
        <v>0</v>
      </c>
      <c r="D41" s="25"/>
      <c r="E41" s="25"/>
      <c r="F41" s="25"/>
      <c r="G41" s="25"/>
      <c r="H41" s="25">
        <v>18</v>
      </c>
      <c r="I41" s="25"/>
      <c r="J41" s="25"/>
      <c r="K41" s="136">
        <f t="shared" si="4"/>
        <v>18</v>
      </c>
      <c r="L41" s="2" t="s">
        <v>165</v>
      </c>
    </row>
    <row r="42" spans="1:13" x14ac:dyDescent="0.25">
      <c r="A42" s="33" t="s">
        <v>367</v>
      </c>
      <c r="B42" s="25"/>
      <c r="C42" s="25"/>
      <c r="D42" s="25"/>
      <c r="E42" s="25"/>
      <c r="F42" s="25">
        <v>114542</v>
      </c>
      <c r="G42" s="25"/>
      <c r="H42" s="25"/>
      <c r="I42" s="25"/>
      <c r="J42" s="25">
        <v>76006</v>
      </c>
      <c r="K42" s="136">
        <f t="shared" si="4"/>
        <v>190548</v>
      </c>
      <c r="L42" s="2" t="s">
        <v>165</v>
      </c>
    </row>
    <row r="43" spans="1:13" x14ac:dyDescent="0.25">
      <c r="A43" s="33" t="s">
        <v>172</v>
      </c>
      <c r="B43" s="25"/>
      <c r="C43" s="25">
        <v>0</v>
      </c>
      <c r="D43" s="25"/>
      <c r="E43" s="25"/>
      <c r="F43" s="25"/>
      <c r="G43" s="25"/>
      <c r="H43" s="25"/>
      <c r="I43" s="25"/>
      <c r="J43" s="25"/>
      <c r="K43" s="136">
        <f t="shared" si="4"/>
        <v>0</v>
      </c>
      <c r="L43" s="2" t="s">
        <v>165</v>
      </c>
    </row>
    <row r="44" spans="1:13" x14ac:dyDescent="0.25">
      <c r="A44" s="33" t="s">
        <v>368</v>
      </c>
      <c r="B44" s="25"/>
      <c r="C44" s="25">
        <v>0</v>
      </c>
      <c r="D44" s="25"/>
      <c r="E44" s="25"/>
      <c r="F44" s="25"/>
      <c r="G44" s="25"/>
      <c r="H44" s="25"/>
      <c r="I44" s="25"/>
      <c r="J44" s="25"/>
      <c r="K44" s="136">
        <f t="shared" si="4"/>
        <v>0</v>
      </c>
      <c r="L44" s="2" t="s">
        <v>165</v>
      </c>
    </row>
    <row r="45" spans="1:13" x14ac:dyDescent="0.25">
      <c r="A45" s="33" t="s">
        <v>173</v>
      </c>
      <c r="B45" s="25"/>
      <c r="C45" s="25">
        <v>62906</v>
      </c>
      <c r="D45" s="25"/>
      <c r="E45" s="25"/>
      <c r="F45" s="25"/>
      <c r="G45" s="25"/>
      <c r="H45" s="25"/>
      <c r="I45" s="25"/>
      <c r="J45" s="25">
        <v>-108</v>
      </c>
      <c r="K45" s="136">
        <f t="shared" si="4"/>
        <v>62798</v>
      </c>
      <c r="L45" s="2" t="s">
        <v>165</v>
      </c>
    </row>
    <row r="46" spans="1:13" x14ac:dyDescent="0.25">
      <c r="A46" s="33" t="s">
        <v>174</v>
      </c>
      <c r="B46" s="25"/>
      <c r="C46" s="25">
        <v>186</v>
      </c>
      <c r="D46" s="25"/>
      <c r="E46" s="25"/>
      <c r="F46" s="25"/>
      <c r="G46" s="25"/>
      <c r="H46" s="25"/>
      <c r="I46" s="25"/>
      <c r="J46" s="25"/>
      <c r="K46" s="136">
        <f t="shared" si="4"/>
        <v>186</v>
      </c>
      <c r="L46" s="2" t="s">
        <v>165</v>
      </c>
    </row>
    <row r="47" spans="1:13" x14ac:dyDescent="0.25">
      <c r="A47" s="33" t="s">
        <v>31</v>
      </c>
      <c r="B47" s="25"/>
      <c r="C47" s="25">
        <f>40502-H47</f>
        <v>28265</v>
      </c>
      <c r="D47" s="25"/>
      <c r="E47" s="25"/>
      <c r="F47" s="25"/>
      <c r="G47" s="25"/>
      <c r="H47" s="156">
        <v>12237</v>
      </c>
      <c r="I47" s="25"/>
      <c r="J47" s="25">
        <v>-3525</v>
      </c>
      <c r="K47" s="136">
        <f t="shared" si="4"/>
        <v>36977</v>
      </c>
      <c r="L47" s="2" t="s">
        <v>165</v>
      </c>
      <c r="M47" s="2" t="s">
        <v>175</v>
      </c>
    </row>
    <row r="48" spans="1:13" x14ac:dyDescent="0.25">
      <c r="A48" s="33" t="s">
        <v>32</v>
      </c>
      <c r="B48" s="25"/>
      <c r="C48" s="25">
        <f>381378-H48</f>
        <v>386640</v>
      </c>
      <c r="D48" s="25"/>
      <c r="E48" s="25"/>
      <c r="F48" s="25">
        <v>412278</v>
      </c>
      <c r="G48" s="25"/>
      <c r="H48" s="156">
        <v>-5262</v>
      </c>
      <c r="I48" s="25"/>
      <c r="J48" s="25">
        <v>-43715</v>
      </c>
      <c r="K48" s="136">
        <f t="shared" si="4"/>
        <v>749941</v>
      </c>
      <c r="L48" s="2" t="s">
        <v>151</v>
      </c>
      <c r="M48" s="2" t="s">
        <v>175</v>
      </c>
    </row>
    <row r="49" spans="1:13" x14ac:dyDescent="0.25">
      <c r="A49" s="33" t="s">
        <v>176</v>
      </c>
      <c r="B49" s="25"/>
      <c r="C49" s="25">
        <v>0</v>
      </c>
      <c r="D49" s="25">
        <v>0</v>
      </c>
      <c r="E49" s="25">
        <v>93076</v>
      </c>
      <c r="F49" s="25">
        <v>3889080</v>
      </c>
      <c r="G49" s="25"/>
      <c r="H49" s="25"/>
      <c r="I49" s="25"/>
      <c r="J49" s="25">
        <f>3665167+1</f>
        <v>3665168</v>
      </c>
      <c r="K49" s="136">
        <f t="shared" si="4"/>
        <v>7647324</v>
      </c>
      <c r="L49" s="2" t="s">
        <v>36</v>
      </c>
      <c r="M49" s="2" t="s">
        <v>177</v>
      </c>
    </row>
    <row r="50" spans="1:13" x14ac:dyDescent="0.25">
      <c r="A50" s="33" t="s">
        <v>369</v>
      </c>
      <c r="B50" s="25"/>
      <c r="C50" s="25">
        <f>1111606-H51</f>
        <v>1111606</v>
      </c>
      <c r="D50" s="25"/>
      <c r="E50" s="25"/>
      <c r="F50" s="25"/>
      <c r="G50" s="25"/>
      <c r="H50" s="25"/>
      <c r="I50" s="25"/>
      <c r="J50" s="25">
        <v>237360</v>
      </c>
      <c r="K50" s="136">
        <f t="shared" si="4"/>
        <v>1348966</v>
      </c>
      <c r="L50" s="2" t="s">
        <v>150</v>
      </c>
      <c r="M50" s="2" t="s">
        <v>177</v>
      </c>
    </row>
    <row r="51" spans="1:13" x14ac:dyDescent="0.25">
      <c r="A51" s="33" t="s">
        <v>370</v>
      </c>
      <c r="B51" s="25"/>
      <c r="C51" s="25">
        <f>1825975-H51</f>
        <v>1825975</v>
      </c>
      <c r="D51" s="25"/>
      <c r="E51" s="25"/>
      <c r="F51" s="25"/>
      <c r="G51" s="25"/>
      <c r="H51" s="25"/>
      <c r="I51" s="25"/>
      <c r="J51" s="25">
        <v>54777</v>
      </c>
      <c r="K51" s="136">
        <f t="shared" si="4"/>
        <v>1880752</v>
      </c>
      <c r="L51" s="2" t="s">
        <v>36</v>
      </c>
      <c r="M51" s="2" t="s">
        <v>177</v>
      </c>
    </row>
    <row r="52" spans="1:13" x14ac:dyDescent="0.25">
      <c r="A52" s="33" t="s">
        <v>371</v>
      </c>
      <c r="B52" s="25"/>
      <c r="C52" s="25">
        <f>232256-H52</f>
        <v>232256</v>
      </c>
      <c r="D52" s="25"/>
      <c r="E52" s="25"/>
      <c r="F52" s="25"/>
      <c r="G52" s="25"/>
      <c r="H52" s="25"/>
      <c r="I52" s="25"/>
      <c r="J52" s="25">
        <v>-37144</v>
      </c>
      <c r="K52" s="136">
        <f t="shared" si="4"/>
        <v>195112</v>
      </c>
      <c r="L52" s="2" t="s">
        <v>36</v>
      </c>
      <c r="M52" s="2" t="s">
        <v>177</v>
      </c>
    </row>
    <row r="53" spans="1:13" x14ac:dyDescent="0.25">
      <c r="A53" s="33" t="s">
        <v>372</v>
      </c>
      <c r="B53" s="25"/>
      <c r="C53" s="25">
        <f>33475-H53</f>
        <v>12347</v>
      </c>
      <c r="D53" s="25"/>
      <c r="E53" s="25"/>
      <c r="F53" s="25"/>
      <c r="G53" s="25"/>
      <c r="H53" s="25">
        <v>21128</v>
      </c>
      <c r="I53" s="25"/>
      <c r="J53" s="25">
        <v>12657</v>
      </c>
      <c r="K53" s="136">
        <f t="shared" si="4"/>
        <v>46132</v>
      </c>
      <c r="L53" s="2" t="s">
        <v>36</v>
      </c>
      <c r="M53" s="2" t="s">
        <v>177</v>
      </c>
    </row>
    <row r="54" spans="1:13" x14ac:dyDescent="0.25">
      <c r="A54" s="33" t="s">
        <v>373</v>
      </c>
      <c r="B54" s="25"/>
      <c r="C54" s="25">
        <v>32107</v>
      </c>
      <c r="D54" s="25"/>
      <c r="E54" s="25"/>
      <c r="F54" s="25"/>
      <c r="G54" s="25"/>
      <c r="H54" s="25"/>
      <c r="I54" s="25"/>
      <c r="J54" s="25">
        <v>-2941</v>
      </c>
      <c r="K54" s="136">
        <f t="shared" si="4"/>
        <v>29166</v>
      </c>
      <c r="L54" s="2" t="s">
        <v>36</v>
      </c>
      <c r="M54" s="2" t="s">
        <v>177</v>
      </c>
    </row>
    <row r="55" spans="1:13" x14ac:dyDescent="0.25">
      <c r="A55" s="33" t="s">
        <v>178</v>
      </c>
      <c r="B55" s="25"/>
      <c r="C55" s="25">
        <v>-2499</v>
      </c>
      <c r="D55" s="25"/>
      <c r="E55" s="25"/>
      <c r="F55" s="25"/>
      <c r="G55" s="25"/>
      <c r="H55" s="25"/>
      <c r="I55" s="25"/>
      <c r="J55" s="25">
        <v>-21</v>
      </c>
      <c r="K55" s="136">
        <f t="shared" si="4"/>
        <v>-2520</v>
      </c>
      <c r="L55" s="2" t="s">
        <v>36</v>
      </c>
      <c r="M55" s="2" t="s">
        <v>177</v>
      </c>
    </row>
    <row r="56" spans="1:13" x14ac:dyDescent="0.25">
      <c r="A56" s="33" t="s">
        <v>179</v>
      </c>
      <c r="B56" s="25"/>
      <c r="C56" s="25"/>
      <c r="D56" s="25"/>
      <c r="E56" s="25"/>
      <c r="F56" s="25">
        <v>149892</v>
      </c>
      <c r="G56" s="25"/>
      <c r="H56" s="25"/>
      <c r="I56" s="25"/>
      <c r="J56" s="25">
        <v>85753</v>
      </c>
      <c r="K56" s="136">
        <f t="shared" si="4"/>
        <v>235645</v>
      </c>
      <c r="L56" s="2" t="s">
        <v>180</v>
      </c>
    </row>
    <row r="57" spans="1:13" x14ac:dyDescent="0.25">
      <c r="A57" s="33" t="s">
        <v>374</v>
      </c>
      <c r="B57" s="25"/>
      <c r="C57" s="25"/>
      <c r="D57" s="25"/>
      <c r="E57" s="25"/>
      <c r="F57" s="25">
        <v>1716</v>
      </c>
      <c r="G57" s="25"/>
      <c r="H57" s="25"/>
      <c r="I57" s="25"/>
      <c r="J57" s="25"/>
      <c r="K57" s="136">
        <f t="shared" si="4"/>
        <v>1716</v>
      </c>
      <c r="L57" s="2" t="s">
        <v>180</v>
      </c>
    </row>
    <row r="58" spans="1:13" x14ac:dyDescent="0.25">
      <c r="A58" s="33" t="s">
        <v>34</v>
      </c>
      <c r="B58" s="25"/>
      <c r="C58" s="25"/>
      <c r="D58" s="25"/>
      <c r="E58" s="25"/>
      <c r="F58" s="25">
        <v>860126</v>
      </c>
      <c r="G58" s="25"/>
      <c r="H58" s="25"/>
      <c r="I58" s="25"/>
      <c r="J58" s="25">
        <v>-14743</v>
      </c>
      <c r="K58" s="136">
        <f t="shared" si="4"/>
        <v>845383</v>
      </c>
      <c r="L58" s="2" t="s">
        <v>165</v>
      </c>
    </row>
    <row r="59" spans="1:13" x14ac:dyDescent="0.25">
      <c r="A59" s="33" t="s">
        <v>181</v>
      </c>
      <c r="B59" s="25"/>
      <c r="C59" s="25">
        <v>0</v>
      </c>
      <c r="D59" s="25"/>
      <c r="E59" s="25"/>
      <c r="F59" s="25"/>
      <c r="G59" s="25"/>
      <c r="H59" s="25"/>
      <c r="I59" s="25"/>
      <c r="J59" s="25">
        <v>0</v>
      </c>
      <c r="K59" s="136">
        <f t="shared" si="4"/>
        <v>0</v>
      </c>
      <c r="L59" s="2" t="s">
        <v>165</v>
      </c>
    </row>
    <row r="60" spans="1:13" x14ac:dyDescent="0.25">
      <c r="A60" s="33" t="s">
        <v>182</v>
      </c>
      <c r="B60" s="25"/>
      <c r="C60" s="25">
        <v>28772</v>
      </c>
      <c r="D60" s="25"/>
      <c r="E60" s="25"/>
      <c r="F60" s="25"/>
      <c r="G60" s="25"/>
      <c r="H60" s="25"/>
      <c r="I60" s="25"/>
      <c r="J60" s="25">
        <v>0</v>
      </c>
      <c r="K60" s="136">
        <f t="shared" si="4"/>
        <v>28772</v>
      </c>
      <c r="L60" s="2" t="s">
        <v>376</v>
      </c>
    </row>
    <row r="61" spans="1:13" x14ac:dyDescent="0.25">
      <c r="A61" s="33" t="s">
        <v>183</v>
      </c>
      <c r="B61" s="25"/>
      <c r="C61" s="25">
        <v>0</v>
      </c>
      <c r="D61" s="25"/>
      <c r="E61" s="25"/>
      <c r="F61" s="25"/>
      <c r="G61" s="25"/>
      <c r="H61" s="25"/>
      <c r="I61" s="25"/>
      <c r="J61" s="25">
        <f>6811114+1</f>
        <v>6811115</v>
      </c>
      <c r="K61" s="136">
        <f t="shared" si="4"/>
        <v>6811115</v>
      </c>
      <c r="L61" s="2" t="s">
        <v>165</v>
      </c>
    </row>
    <row r="62" spans="1:13" x14ac:dyDescent="0.25">
      <c r="A62" s="33" t="s">
        <v>184</v>
      </c>
      <c r="B62" s="25"/>
      <c r="C62" s="25">
        <v>308508</v>
      </c>
      <c r="D62" s="25"/>
      <c r="E62" s="25"/>
      <c r="F62" s="25">
        <v>12616</v>
      </c>
      <c r="G62" s="25"/>
      <c r="H62" s="25"/>
      <c r="I62" s="25"/>
      <c r="J62" s="25">
        <v>-10182</v>
      </c>
      <c r="K62" s="136">
        <f t="shared" si="4"/>
        <v>310942</v>
      </c>
      <c r="L62" s="2" t="s">
        <v>165</v>
      </c>
    </row>
    <row r="63" spans="1:13" x14ac:dyDescent="0.25">
      <c r="A63" s="33" t="s">
        <v>185</v>
      </c>
      <c r="B63" s="25"/>
      <c r="C63" s="25">
        <v>7500</v>
      </c>
      <c r="D63" s="25"/>
      <c r="E63" s="25"/>
      <c r="F63" s="25">
        <v>55204</v>
      </c>
      <c r="G63" s="25"/>
      <c r="H63" s="25"/>
      <c r="I63" s="25"/>
      <c r="J63" s="25">
        <v>-45</v>
      </c>
      <c r="K63" s="136">
        <f t="shared" si="4"/>
        <v>62659</v>
      </c>
      <c r="L63" s="2" t="s">
        <v>165</v>
      </c>
    </row>
    <row r="64" spans="1:13" x14ac:dyDescent="0.25">
      <c r="A64" s="33" t="s">
        <v>186</v>
      </c>
      <c r="B64" s="25"/>
      <c r="C64" s="25"/>
      <c r="D64" s="25"/>
      <c r="E64" s="25"/>
      <c r="F64" s="25"/>
      <c r="G64" s="25">
        <v>817</v>
      </c>
      <c r="H64" s="25"/>
      <c r="I64" s="25"/>
      <c r="J64" s="25"/>
      <c r="K64" s="136">
        <f t="shared" si="4"/>
        <v>817</v>
      </c>
      <c r="L64" s="2" t="s">
        <v>165</v>
      </c>
    </row>
    <row r="65" spans="1:12" x14ac:dyDescent="0.25">
      <c r="A65" s="33" t="s">
        <v>187</v>
      </c>
      <c r="B65" s="25"/>
      <c r="C65" s="25"/>
      <c r="D65" s="25"/>
      <c r="E65" s="25"/>
      <c r="F65" s="25">
        <v>63009</v>
      </c>
      <c r="G65" s="25"/>
      <c r="H65" s="25"/>
      <c r="I65" s="25"/>
      <c r="J65" s="25"/>
      <c r="K65" s="136">
        <f t="shared" si="4"/>
        <v>63009</v>
      </c>
      <c r="L65" s="2" t="s">
        <v>165</v>
      </c>
    </row>
    <row r="66" spans="1:12" x14ac:dyDescent="0.25">
      <c r="A66" s="33" t="s">
        <v>188</v>
      </c>
      <c r="B66" s="25"/>
      <c r="C66" s="25">
        <v>62434</v>
      </c>
      <c r="D66" s="25"/>
      <c r="E66" s="25"/>
      <c r="F66" s="25"/>
      <c r="G66" s="25"/>
      <c r="H66" s="25"/>
      <c r="I66" s="25"/>
      <c r="J66" s="25">
        <v>-796</v>
      </c>
      <c r="K66" s="136">
        <f t="shared" si="4"/>
        <v>61638</v>
      </c>
      <c r="L66" s="2" t="s">
        <v>165</v>
      </c>
    </row>
    <row r="67" spans="1:12" x14ac:dyDescent="0.25">
      <c r="A67" s="33" t="s">
        <v>375</v>
      </c>
      <c r="B67" s="25"/>
      <c r="C67" s="25"/>
      <c r="D67" s="25"/>
      <c r="E67" s="25"/>
      <c r="F67" s="25">
        <v>743865</v>
      </c>
      <c r="G67" s="25"/>
      <c r="H67" s="25"/>
      <c r="I67" s="25"/>
      <c r="J67" s="25"/>
      <c r="K67" s="136">
        <f t="shared" si="4"/>
        <v>743865</v>
      </c>
      <c r="L67" s="2" t="s">
        <v>180</v>
      </c>
    </row>
    <row r="68" spans="1:12" x14ac:dyDescent="0.25">
      <c r="A68" s="33" t="s">
        <v>189</v>
      </c>
      <c r="B68" s="25"/>
      <c r="C68" s="25">
        <v>7</v>
      </c>
      <c r="D68" s="25"/>
      <c r="E68" s="25"/>
      <c r="F68" s="25"/>
      <c r="G68" s="25"/>
      <c r="H68" s="25"/>
      <c r="I68" s="25"/>
      <c r="J68" s="25"/>
      <c r="K68" s="136">
        <f t="shared" si="4"/>
        <v>7</v>
      </c>
      <c r="L68" s="2" t="s">
        <v>165</v>
      </c>
    </row>
    <row r="69" spans="1:12" x14ac:dyDescent="0.25">
      <c r="B69" s="125">
        <f t="shared" ref="B69:J69" si="5">SUM(B34:B68)</f>
        <v>0</v>
      </c>
      <c r="C69" s="125">
        <f t="shared" si="5"/>
        <v>4562177</v>
      </c>
      <c r="D69" s="125">
        <f t="shared" si="5"/>
        <v>224165</v>
      </c>
      <c r="E69" s="125">
        <f t="shared" si="5"/>
        <v>93076</v>
      </c>
      <c r="F69" s="125">
        <f t="shared" si="5"/>
        <v>6320369</v>
      </c>
      <c r="G69" s="125">
        <f t="shared" si="5"/>
        <v>817</v>
      </c>
      <c r="H69" s="125">
        <f>SUM(H34:H68)</f>
        <v>28117</v>
      </c>
      <c r="I69" s="125">
        <f t="shared" si="5"/>
        <v>0</v>
      </c>
      <c r="J69" s="125">
        <f t="shared" si="5"/>
        <v>11135026</v>
      </c>
      <c r="K69" s="125">
        <f>SUM(K34:K68)</f>
        <v>22363747</v>
      </c>
    </row>
    <row r="70" spans="1:12" x14ac:dyDescent="0.25">
      <c r="A70" s="2" t="s">
        <v>190</v>
      </c>
      <c r="J70" s="1"/>
      <c r="K70" s="1"/>
      <c r="L70" s="1"/>
    </row>
    <row r="71" spans="1:12" x14ac:dyDescent="0.25">
      <c r="A71" s="2" t="s">
        <v>191</v>
      </c>
      <c r="J71" s="1"/>
      <c r="K71" s="1"/>
    </row>
    <row r="72" spans="1:12" x14ac:dyDescent="0.25">
      <c r="J72" s="1"/>
      <c r="K72" s="1"/>
    </row>
    <row r="73" spans="1:12" x14ac:dyDescent="0.25">
      <c r="J73" s="1"/>
      <c r="K73" s="1"/>
    </row>
  </sheetData>
  <mergeCells count="1">
    <mergeCell ref="B5:G5"/>
  </mergeCells>
  <printOptions horizontalCentered="1"/>
  <pageMargins left="0.5" right="0.5" top="0.5" bottom="0.45" header="0.3" footer="0.3"/>
  <pageSetup scale="79" fitToHeight="0" orientation="landscape" r:id="rId1"/>
  <headerFooter>
    <oddFooter>&amp;L&amp;8&amp;D&amp;C&amp;8&amp;P&amp;R&amp;8&amp;A</oddFooter>
  </headerFooter>
  <rowBreaks count="1" manualBreakCount="1">
    <brk id="31" max="16383" man="1"/>
  </rowBreaks>
  <ignoredErrors>
    <ignoredError sqref="F6" numberStoredAsText="1"/>
    <ignoredError sqref="F11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7ED7E-DA71-46A8-8195-8D253586E61F}">
  <sheetPr>
    <tabColor theme="9"/>
    <pageSetUpPr fitToPage="1"/>
  </sheetPr>
  <dimension ref="A1:K127"/>
  <sheetViews>
    <sheetView workbookViewId="0"/>
  </sheetViews>
  <sheetFormatPr defaultColWidth="8.85546875" defaultRowHeight="15" x14ac:dyDescent="0.25"/>
  <cols>
    <col min="1" max="1" width="35.28515625" style="2" customWidth="1"/>
    <col min="2" max="3" width="13.28515625" style="2" customWidth="1"/>
    <col min="4" max="10" width="13.28515625" style="1" customWidth="1"/>
    <col min="11" max="11" width="2.85546875" style="2" customWidth="1"/>
    <col min="12" max="12" width="14" style="2" customWidth="1"/>
    <col min="13" max="16384" width="8.85546875" style="2"/>
  </cols>
  <sheetData>
    <row r="1" spans="1:10" ht="25.9" customHeight="1" x14ac:dyDescent="0.4">
      <c r="A1" s="3"/>
      <c r="B1" s="3"/>
      <c r="C1" s="3"/>
      <c r="J1" s="26"/>
    </row>
    <row r="2" spans="1:10" ht="25.9" customHeight="1" x14ac:dyDescent="0.3">
      <c r="A2" s="3"/>
      <c r="B2" s="3"/>
      <c r="C2" s="3"/>
    </row>
    <row r="3" spans="1:10" ht="18.75" customHeight="1" x14ac:dyDescent="0.3">
      <c r="A3" s="3" t="s">
        <v>360</v>
      </c>
      <c r="B3" s="3"/>
      <c r="C3" s="3"/>
      <c r="J3" s="6" t="str">
        <f>+'Attachment A - Base'!K3</f>
        <v>BPA #26-01</v>
      </c>
    </row>
    <row r="4" spans="1:10" ht="20.100000000000001" customHeight="1" x14ac:dyDescent="0.25">
      <c r="A4" s="17">
        <f>+'Attachment A - Base'!A4</f>
        <v>46240</v>
      </c>
      <c r="B4" s="17"/>
      <c r="C4" s="17"/>
    </row>
    <row r="5" spans="1:10" x14ac:dyDescent="0.25">
      <c r="D5" s="157"/>
      <c r="E5" s="157"/>
      <c r="F5" s="157"/>
      <c r="G5" s="157"/>
      <c r="H5" s="157"/>
      <c r="I5" s="157"/>
      <c r="J5" s="157"/>
    </row>
    <row r="6" spans="1:10" x14ac:dyDescent="0.25">
      <c r="B6" s="1"/>
      <c r="J6" s="19"/>
    </row>
    <row r="7" spans="1:10" ht="75.75" thickBot="1" x14ac:dyDescent="0.3">
      <c r="A7" s="4"/>
      <c r="B7" s="5" t="s">
        <v>192</v>
      </c>
      <c r="C7" s="5" t="s">
        <v>40</v>
      </c>
      <c r="D7" s="5" t="s">
        <v>41</v>
      </c>
      <c r="E7" s="5" t="s">
        <v>42</v>
      </c>
      <c r="F7" s="5" t="s">
        <v>43</v>
      </c>
      <c r="G7" s="5" t="s">
        <v>44</v>
      </c>
      <c r="H7" s="5" t="s">
        <v>45</v>
      </c>
      <c r="I7" s="5" t="s">
        <v>193</v>
      </c>
      <c r="J7" s="20" t="s">
        <v>363</v>
      </c>
    </row>
    <row r="8" spans="1:10" ht="19.149999999999999" customHeight="1" x14ac:dyDescent="0.25">
      <c r="A8" s="14"/>
      <c r="B8" s="14"/>
      <c r="C8" s="14"/>
      <c r="D8" s="16"/>
      <c r="E8" s="16"/>
      <c r="F8" s="16"/>
      <c r="G8" s="16"/>
      <c r="H8" s="16"/>
      <c r="I8" s="16"/>
      <c r="J8" s="21"/>
    </row>
    <row r="9" spans="1:10" ht="19.149999999999999" customHeight="1" x14ac:dyDescent="0.25">
      <c r="A9" s="2" t="s">
        <v>9</v>
      </c>
      <c r="D9" s="100"/>
      <c r="E9" s="100"/>
      <c r="F9" s="100"/>
      <c r="G9" s="100"/>
      <c r="H9" s="100"/>
      <c r="I9" s="100"/>
      <c r="J9" s="22">
        <f>SUM(B9:I9)</f>
        <v>0</v>
      </c>
    </row>
    <row r="10" spans="1:10" ht="19.149999999999999" customHeight="1" x14ac:dyDescent="0.25">
      <c r="A10" s="2" t="s">
        <v>10</v>
      </c>
      <c r="B10" s="2">
        <f>+B26</f>
        <v>622577</v>
      </c>
      <c r="C10" s="2">
        <f>+B27</f>
        <v>414624</v>
      </c>
      <c r="D10" s="100">
        <f>+B31</f>
        <v>1561426</v>
      </c>
      <c r="E10" s="100"/>
      <c r="F10" s="100"/>
      <c r="G10" s="100">
        <f>+C100</f>
        <v>-24250</v>
      </c>
      <c r="H10" s="100">
        <f>+C111</f>
        <v>115759</v>
      </c>
      <c r="I10" s="100"/>
      <c r="J10" s="22">
        <f t="shared" ref="J10:J19" si="0">SUM(B10:I10)</f>
        <v>2690136</v>
      </c>
    </row>
    <row r="11" spans="1:10" ht="19.149999999999999" customHeight="1" x14ac:dyDescent="0.25">
      <c r="A11" s="2" t="s">
        <v>11</v>
      </c>
      <c r="D11" s="100"/>
      <c r="E11" s="100"/>
      <c r="F11" s="100"/>
      <c r="G11" s="100"/>
      <c r="H11" s="100">
        <f>+C114</f>
        <v>33</v>
      </c>
      <c r="I11" s="100"/>
      <c r="J11" s="22">
        <f t="shared" si="0"/>
        <v>33</v>
      </c>
    </row>
    <row r="12" spans="1:10" ht="19.149999999999999" customHeight="1" x14ac:dyDescent="0.25">
      <c r="A12" s="2" t="s">
        <v>12</v>
      </c>
      <c r="D12" s="100">
        <f>+B32</f>
        <v>968921</v>
      </c>
      <c r="E12" s="100">
        <f>C41</f>
        <v>-2100</v>
      </c>
      <c r="F12" s="100"/>
      <c r="G12" s="100"/>
      <c r="H12" s="100"/>
      <c r="I12" s="100"/>
      <c r="J12" s="22">
        <f>SUM(B12:I12)</f>
        <v>966821</v>
      </c>
    </row>
    <row r="13" spans="1:10" ht="19.149999999999999" customHeight="1" x14ac:dyDescent="0.25">
      <c r="A13" s="2" t="s">
        <v>13</v>
      </c>
      <c r="D13" s="100">
        <f>+B33</f>
        <v>755375</v>
      </c>
      <c r="E13" s="100">
        <f>+C38</f>
        <v>5415810</v>
      </c>
      <c r="F13" s="100">
        <f>+C46</f>
        <v>1241088</v>
      </c>
      <c r="G13" s="100"/>
      <c r="H13" s="100">
        <f>+C117</f>
        <v>-4817</v>
      </c>
      <c r="I13" s="100"/>
      <c r="J13" s="22">
        <f t="shared" si="0"/>
        <v>7407456</v>
      </c>
    </row>
    <row r="14" spans="1:10" ht="19.149999999999999" customHeight="1" x14ac:dyDescent="0.25">
      <c r="A14" s="2" t="s">
        <v>14</v>
      </c>
      <c r="D14" s="100"/>
      <c r="E14" s="100"/>
      <c r="F14" s="100"/>
      <c r="G14" s="100"/>
      <c r="H14" s="100">
        <f>+C120</f>
        <v>98145</v>
      </c>
      <c r="I14" s="100"/>
      <c r="J14" s="22">
        <f>SUM(B14:I14)</f>
        <v>98145</v>
      </c>
    </row>
    <row r="15" spans="1:10" ht="19.149999999999999" customHeight="1" x14ac:dyDescent="0.25">
      <c r="A15" s="2" t="s">
        <v>507</v>
      </c>
      <c r="D15" s="100"/>
      <c r="E15" s="100"/>
      <c r="F15" s="100"/>
      <c r="G15" s="100"/>
      <c r="H15" s="100">
        <f>C123</f>
        <v>176145</v>
      </c>
      <c r="I15" s="100"/>
      <c r="J15" s="22">
        <f>SUM(B15:I15)</f>
        <v>176145</v>
      </c>
    </row>
    <row r="16" spans="1:10" ht="19.149999999999999" customHeight="1" x14ac:dyDescent="0.25">
      <c r="A16" s="2" t="s">
        <v>508</v>
      </c>
      <c r="D16" s="100"/>
      <c r="E16" s="100"/>
      <c r="F16" s="100"/>
      <c r="G16" s="100"/>
      <c r="H16" s="100"/>
      <c r="I16" s="100"/>
      <c r="J16" s="22">
        <f>SUM(B16:I16)</f>
        <v>0</v>
      </c>
    </row>
    <row r="17" spans="1:10" ht="19.149999999999999" customHeight="1" x14ac:dyDescent="0.25">
      <c r="A17" s="9" t="s">
        <v>15</v>
      </c>
      <c r="B17" s="101">
        <f t="shared" ref="B17:J17" si="1">SUM(B9:B16)</f>
        <v>622577</v>
      </c>
      <c r="C17" s="102">
        <f t="shared" si="1"/>
        <v>414624</v>
      </c>
      <c r="D17" s="102">
        <f t="shared" si="1"/>
        <v>3285722</v>
      </c>
      <c r="E17" s="102">
        <f t="shared" si="1"/>
        <v>5413710</v>
      </c>
      <c r="F17" s="102">
        <f t="shared" si="1"/>
        <v>1241088</v>
      </c>
      <c r="G17" s="102">
        <f t="shared" si="1"/>
        <v>-24250</v>
      </c>
      <c r="H17" s="102">
        <f t="shared" si="1"/>
        <v>385265</v>
      </c>
      <c r="I17" s="102">
        <f t="shared" si="1"/>
        <v>0</v>
      </c>
      <c r="J17" s="23">
        <f t="shared" si="1"/>
        <v>11338736</v>
      </c>
    </row>
    <row r="18" spans="1:10" ht="19.149999999999999" customHeight="1" x14ac:dyDescent="0.25">
      <c r="A18" s="2" t="s">
        <v>16</v>
      </c>
      <c r="D18" s="2"/>
      <c r="E18" s="2"/>
      <c r="F18" s="2"/>
      <c r="G18" s="2"/>
      <c r="H18" s="2"/>
      <c r="I18" s="100">
        <v>25427</v>
      </c>
      <c r="J18" s="22">
        <f>SUM(B18:I18)</f>
        <v>25427</v>
      </c>
    </row>
    <row r="19" spans="1:10" ht="19.149999999999999" customHeight="1" x14ac:dyDescent="0.25">
      <c r="A19" s="2" t="s">
        <v>17</v>
      </c>
      <c r="B19" s="100"/>
      <c r="C19" s="100"/>
      <c r="D19" s="100"/>
      <c r="E19" s="100"/>
      <c r="F19" s="100"/>
      <c r="G19" s="100"/>
      <c r="H19" s="100"/>
      <c r="I19" s="100">
        <f>883999+1</f>
        <v>884000</v>
      </c>
      <c r="J19" s="22">
        <f t="shared" si="0"/>
        <v>884000</v>
      </c>
    </row>
    <row r="20" spans="1:10" ht="15" customHeight="1" thickBot="1" x14ac:dyDescent="0.3">
      <c r="A20" s="10" t="s">
        <v>18</v>
      </c>
      <c r="B20" s="103">
        <f>SUM(B17:B19)</f>
        <v>622577</v>
      </c>
      <c r="C20" s="103">
        <f t="shared" ref="C20:I20" si="2">SUM(C17:C19)</f>
        <v>414624</v>
      </c>
      <c r="D20" s="103">
        <f t="shared" si="2"/>
        <v>3285722</v>
      </c>
      <c r="E20" s="103">
        <f t="shared" si="2"/>
        <v>5413710</v>
      </c>
      <c r="F20" s="103">
        <f t="shared" si="2"/>
        <v>1241088</v>
      </c>
      <c r="G20" s="103">
        <f>SUM(G17:G19)</f>
        <v>-24250</v>
      </c>
      <c r="H20" s="103">
        <f t="shared" si="2"/>
        <v>385265</v>
      </c>
      <c r="I20" s="103">
        <f t="shared" si="2"/>
        <v>909427</v>
      </c>
      <c r="J20" s="24">
        <f t="shared" ref="J20" si="3">SUM(J17:J19)</f>
        <v>12248163</v>
      </c>
    </row>
    <row r="21" spans="1:10" ht="15" customHeight="1" x14ac:dyDescent="0.25">
      <c r="A21" s="2" t="s">
        <v>366</v>
      </c>
      <c r="D21" s="12"/>
      <c r="E21" s="13"/>
      <c r="F21" s="13"/>
      <c r="G21" s="13"/>
      <c r="H21" s="13"/>
      <c r="I21" s="13"/>
      <c r="J21" s="13"/>
    </row>
    <row r="22" spans="1:10" ht="15" customHeight="1" x14ac:dyDescent="0.25">
      <c r="D22" s="12"/>
      <c r="E22" s="13"/>
      <c r="F22" s="13"/>
      <c r="G22" s="13"/>
      <c r="H22" s="13"/>
      <c r="I22" s="13"/>
      <c r="J22" s="81"/>
    </row>
    <row r="23" spans="1:10" x14ac:dyDescent="0.25">
      <c r="A23" s="65"/>
      <c r="D23" s="135" t="s">
        <v>365</v>
      </c>
    </row>
    <row r="24" spans="1:10" x14ac:dyDescent="0.25">
      <c r="A24" s="65"/>
      <c r="B24" s="126" t="s">
        <v>194</v>
      </c>
      <c r="D24" s="133" t="s">
        <v>195</v>
      </c>
    </row>
    <row r="25" spans="1:10" x14ac:dyDescent="0.25">
      <c r="A25" s="62" t="s">
        <v>47</v>
      </c>
      <c r="C25" s="74"/>
      <c r="D25" s="127"/>
      <c r="E25" s="106"/>
    </row>
    <row r="26" spans="1:10" x14ac:dyDescent="0.25">
      <c r="A26" s="2" t="s">
        <v>196</v>
      </c>
      <c r="B26" s="2">
        <v>622577</v>
      </c>
      <c r="C26" s="74"/>
      <c r="D26" s="127">
        <v>73230</v>
      </c>
      <c r="E26" s="106"/>
    </row>
    <row r="27" spans="1:10" x14ac:dyDescent="0.25">
      <c r="A27" s="2" t="s">
        <v>51</v>
      </c>
      <c r="B27" s="2">
        <v>414624</v>
      </c>
      <c r="C27" s="74"/>
      <c r="D27" s="127">
        <v>-3397</v>
      </c>
      <c r="E27" s="106"/>
    </row>
    <row r="28" spans="1:10" x14ac:dyDescent="0.25">
      <c r="A28" s="66" t="s">
        <v>50</v>
      </c>
      <c r="B28" s="64"/>
      <c r="C28" s="64">
        <f>SUM(B26:B27)</f>
        <v>1037201</v>
      </c>
      <c r="D28" s="128">
        <f>SUM(D26:D27)</f>
        <v>69833</v>
      </c>
      <c r="E28" s="106"/>
    </row>
    <row r="29" spans="1:10" x14ac:dyDescent="0.25">
      <c r="A29" s="65"/>
      <c r="C29" s="74"/>
      <c r="D29" s="127"/>
      <c r="E29" s="106"/>
    </row>
    <row r="30" spans="1:10" x14ac:dyDescent="0.25">
      <c r="A30" s="62" t="s">
        <v>52</v>
      </c>
      <c r="C30" s="74"/>
      <c r="D30" s="127"/>
      <c r="E30" s="106"/>
    </row>
    <row r="31" spans="1:10" x14ac:dyDescent="0.25">
      <c r="A31" s="65" t="s">
        <v>10</v>
      </c>
      <c r="B31" s="100">
        <v>1561426</v>
      </c>
      <c r="C31" s="74"/>
      <c r="D31" s="127">
        <v>126039</v>
      </c>
      <c r="E31" s="106"/>
    </row>
    <row r="32" spans="1:10" x14ac:dyDescent="0.25">
      <c r="A32" s="65" t="s">
        <v>12</v>
      </c>
      <c r="B32" s="100">
        <f>968921</f>
        <v>968921</v>
      </c>
      <c r="C32" s="74"/>
      <c r="D32" s="127">
        <v>106974</v>
      </c>
      <c r="E32" s="106"/>
    </row>
    <row r="33" spans="1:5" x14ac:dyDescent="0.25">
      <c r="A33" s="65" t="s">
        <v>13</v>
      </c>
      <c r="B33" s="100">
        <v>755375</v>
      </c>
      <c r="C33" s="74"/>
      <c r="D33" s="127">
        <v>82118</v>
      </c>
      <c r="E33" s="106"/>
    </row>
    <row r="34" spans="1:5" x14ac:dyDescent="0.25">
      <c r="A34" s="66" t="s">
        <v>4</v>
      </c>
      <c r="B34" s="64"/>
      <c r="C34" s="64">
        <f>SUM(B31:B33)</f>
        <v>3285722</v>
      </c>
      <c r="D34" s="128">
        <f>SUM(D31:D33)</f>
        <v>315131</v>
      </c>
      <c r="E34" s="106"/>
    </row>
    <row r="35" spans="1:5" x14ac:dyDescent="0.25">
      <c r="A35" s="65"/>
      <c r="C35" s="74"/>
      <c r="D35" s="127"/>
      <c r="E35" s="106"/>
    </row>
    <row r="36" spans="1:5" x14ac:dyDescent="0.25">
      <c r="A36" s="62" t="s">
        <v>64</v>
      </c>
      <c r="D36" s="127"/>
      <c r="E36" s="106"/>
    </row>
    <row r="37" spans="1:5" x14ac:dyDescent="0.25">
      <c r="A37" s="2" t="s">
        <v>65</v>
      </c>
      <c r="B37" s="100">
        <v>5415810</v>
      </c>
      <c r="D37" s="127">
        <v>-78060</v>
      </c>
      <c r="E37" s="106"/>
    </row>
    <row r="38" spans="1:5" x14ac:dyDescent="0.25">
      <c r="A38" s="66" t="s">
        <v>63</v>
      </c>
      <c r="B38" s="68"/>
      <c r="C38" s="68">
        <f>B37</f>
        <v>5415810</v>
      </c>
      <c r="D38" s="129">
        <f>SUM(D37)</f>
        <v>-78060</v>
      </c>
      <c r="E38" s="106"/>
    </row>
    <row r="39" spans="1:5" x14ac:dyDescent="0.25">
      <c r="A39" s="65"/>
      <c r="C39" s="74"/>
      <c r="D39" s="127"/>
      <c r="E39" s="106"/>
    </row>
    <row r="40" spans="1:5" x14ac:dyDescent="0.25">
      <c r="A40" s="2" t="s">
        <v>65</v>
      </c>
      <c r="B40" s="100">
        <v>-2100</v>
      </c>
      <c r="D40" s="127"/>
      <c r="E40" s="106"/>
    </row>
    <row r="41" spans="1:5" x14ac:dyDescent="0.25">
      <c r="A41" s="66" t="s">
        <v>59</v>
      </c>
      <c r="B41" s="68"/>
      <c r="C41" s="68">
        <f>B40</f>
        <v>-2100</v>
      </c>
      <c r="D41" s="129">
        <f>SUM(D40)</f>
        <v>0</v>
      </c>
      <c r="E41" s="106"/>
    </row>
    <row r="42" spans="1:5" x14ac:dyDescent="0.25">
      <c r="A42" s="65"/>
      <c r="C42" s="74"/>
      <c r="D42" s="127"/>
      <c r="E42" s="106"/>
    </row>
    <row r="43" spans="1:5" x14ac:dyDescent="0.25">
      <c r="A43" s="62" t="s">
        <v>66</v>
      </c>
      <c r="D43" s="127"/>
      <c r="E43" s="106"/>
    </row>
    <row r="44" spans="1:5" x14ac:dyDescent="0.25">
      <c r="A44" s="2" t="s">
        <v>67</v>
      </c>
      <c r="B44" s="2">
        <v>1242589</v>
      </c>
      <c r="D44" s="127">
        <v>882910</v>
      </c>
      <c r="E44" s="106"/>
    </row>
    <row r="45" spans="1:5" x14ac:dyDescent="0.25">
      <c r="A45" s="2" t="s">
        <v>68</v>
      </c>
      <c r="B45" s="2">
        <v>-1501</v>
      </c>
      <c r="D45" s="127">
        <v>15459</v>
      </c>
      <c r="E45" s="106"/>
    </row>
    <row r="46" spans="1:5" x14ac:dyDescent="0.25">
      <c r="A46" s="66" t="s">
        <v>63</v>
      </c>
      <c r="B46" s="64"/>
      <c r="C46" s="64">
        <f>SUM(B44:B45)</f>
        <v>1241088</v>
      </c>
      <c r="D46" s="128">
        <f>SUM(D44:D45)</f>
        <v>898369</v>
      </c>
      <c r="E46" s="106"/>
    </row>
    <row r="47" spans="1:5" x14ac:dyDescent="0.25">
      <c r="A47" s="65"/>
      <c r="C47" s="74"/>
      <c r="D47" s="127"/>
      <c r="E47" s="106"/>
    </row>
    <row r="48" spans="1:5" x14ac:dyDescent="0.25">
      <c r="A48" s="62" t="s">
        <v>69</v>
      </c>
      <c r="C48" s="74"/>
      <c r="D48" s="127"/>
      <c r="E48" s="106"/>
    </row>
    <row r="49" spans="1:5" x14ac:dyDescent="0.25">
      <c r="A49" s="65" t="s">
        <v>70</v>
      </c>
      <c r="B49" s="2">
        <v>-1547</v>
      </c>
      <c r="C49" s="74"/>
      <c r="D49" s="127"/>
      <c r="E49" s="106"/>
    </row>
    <row r="50" spans="1:5" x14ac:dyDescent="0.25">
      <c r="A50" s="65" t="s">
        <v>72</v>
      </c>
      <c r="B50" s="2">
        <v>-1428</v>
      </c>
      <c r="C50" s="74"/>
      <c r="D50" s="127"/>
      <c r="E50" s="106"/>
    </row>
    <row r="51" spans="1:5" x14ac:dyDescent="0.25">
      <c r="A51" s="65" t="s">
        <v>75</v>
      </c>
      <c r="B51" s="2">
        <v>-3138</v>
      </c>
      <c r="C51" s="74"/>
      <c r="D51" s="127"/>
      <c r="E51" s="106"/>
    </row>
    <row r="52" spans="1:5" x14ac:dyDescent="0.25">
      <c r="A52" s="65" t="s">
        <v>77</v>
      </c>
      <c r="B52" s="2">
        <v>-764</v>
      </c>
      <c r="C52" s="74"/>
      <c r="D52" s="127"/>
      <c r="E52" s="106"/>
    </row>
    <row r="53" spans="1:5" x14ac:dyDescent="0.25">
      <c r="A53" s="65" t="s">
        <v>79</v>
      </c>
      <c r="B53" s="2">
        <v>-1132</v>
      </c>
      <c r="C53" s="74"/>
      <c r="D53" s="127"/>
      <c r="E53" s="106"/>
    </row>
    <row r="54" spans="1:5" x14ac:dyDescent="0.25">
      <c r="A54" s="65" t="s">
        <v>80</v>
      </c>
      <c r="B54" s="2">
        <v>-11</v>
      </c>
      <c r="C54" s="74"/>
      <c r="D54" s="127">
        <v>-11</v>
      </c>
      <c r="E54" s="106"/>
    </row>
    <row r="55" spans="1:5" x14ac:dyDescent="0.25">
      <c r="A55" s="65" t="s">
        <v>81</v>
      </c>
      <c r="B55" s="2">
        <v>3</v>
      </c>
      <c r="C55" s="74"/>
      <c r="D55" s="127"/>
      <c r="E55" s="106"/>
    </row>
    <row r="56" spans="1:5" x14ac:dyDescent="0.25">
      <c r="A56" s="65" t="s">
        <v>82</v>
      </c>
      <c r="B56" s="2">
        <v>-49</v>
      </c>
      <c r="C56" s="74"/>
      <c r="D56" s="127"/>
      <c r="E56" s="106"/>
    </row>
    <row r="57" spans="1:5" x14ac:dyDescent="0.25">
      <c r="A57" s="65" t="s">
        <v>83</v>
      </c>
      <c r="B57" s="2">
        <v>-2840</v>
      </c>
      <c r="C57" s="74"/>
      <c r="D57" s="127"/>
      <c r="E57" s="106"/>
    </row>
    <row r="58" spans="1:5" x14ac:dyDescent="0.25">
      <c r="A58" s="65" t="s">
        <v>84</v>
      </c>
      <c r="B58" s="2">
        <v>671</v>
      </c>
      <c r="C58" s="74"/>
      <c r="D58" s="127"/>
      <c r="E58" s="106"/>
    </row>
    <row r="59" spans="1:5" x14ac:dyDescent="0.25">
      <c r="A59" s="65" t="s">
        <v>85</v>
      </c>
      <c r="B59" s="2">
        <v>-2176</v>
      </c>
      <c r="C59" s="74"/>
      <c r="D59" s="127">
        <v>385</v>
      </c>
      <c r="E59" s="106"/>
    </row>
    <row r="60" spans="1:5" x14ac:dyDescent="0.25">
      <c r="A60" s="65" t="s">
        <v>86</v>
      </c>
      <c r="B60" s="2">
        <v>-2963</v>
      </c>
      <c r="C60" s="74"/>
      <c r="D60" s="127">
        <v>-14</v>
      </c>
      <c r="E60" s="106"/>
    </row>
    <row r="61" spans="1:5" x14ac:dyDescent="0.25">
      <c r="A61" s="65" t="s">
        <v>87</v>
      </c>
      <c r="B61" s="2">
        <v>-4894</v>
      </c>
      <c r="C61" s="74"/>
      <c r="D61" s="127"/>
      <c r="E61" s="106"/>
    </row>
    <row r="62" spans="1:5" x14ac:dyDescent="0.25">
      <c r="A62" s="65" t="s">
        <v>88</v>
      </c>
      <c r="B62" s="2">
        <v>-5924</v>
      </c>
      <c r="C62" s="74"/>
      <c r="D62" s="127"/>
      <c r="E62" s="106"/>
    </row>
    <row r="63" spans="1:5" x14ac:dyDescent="0.25">
      <c r="A63" s="65" t="s">
        <v>89</v>
      </c>
      <c r="B63" s="2">
        <v>-196</v>
      </c>
      <c r="C63" s="74"/>
      <c r="D63" s="127">
        <v>113</v>
      </c>
      <c r="E63" s="106"/>
    </row>
    <row r="64" spans="1:5" x14ac:dyDescent="0.25">
      <c r="A64" s="65" t="s">
        <v>90</v>
      </c>
      <c r="B64" s="2">
        <v>-7927</v>
      </c>
      <c r="C64" s="74"/>
      <c r="D64" s="127"/>
      <c r="E64" s="106"/>
    </row>
    <row r="65" spans="1:5" x14ac:dyDescent="0.25">
      <c r="A65" s="65" t="s">
        <v>91</v>
      </c>
      <c r="B65" s="2">
        <v>-396</v>
      </c>
      <c r="C65" s="74"/>
      <c r="D65" s="127"/>
      <c r="E65" s="106"/>
    </row>
    <row r="66" spans="1:5" x14ac:dyDescent="0.25">
      <c r="A66" s="65" t="s">
        <v>92</v>
      </c>
      <c r="B66" s="2">
        <v>-15173</v>
      </c>
      <c r="C66" s="74"/>
      <c r="D66" s="127"/>
      <c r="E66" s="106"/>
    </row>
    <row r="67" spans="1:5" x14ac:dyDescent="0.25">
      <c r="A67" s="65" t="s">
        <v>93</v>
      </c>
      <c r="B67" s="2">
        <v>-1303</v>
      </c>
      <c r="C67" s="74"/>
      <c r="D67" s="127"/>
      <c r="E67" s="106"/>
    </row>
    <row r="68" spans="1:5" x14ac:dyDescent="0.25">
      <c r="A68" s="65" t="s">
        <v>94</v>
      </c>
      <c r="B68" s="2">
        <v>2402</v>
      </c>
      <c r="C68" s="74"/>
      <c r="D68" s="127"/>
      <c r="E68" s="106"/>
    </row>
    <row r="69" spans="1:5" x14ac:dyDescent="0.25">
      <c r="A69" s="65" t="s">
        <v>197</v>
      </c>
      <c r="B69" s="2">
        <v>378</v>
      </c>
      <c r="C69" s="74"/>
      <c r="D69" s="127"/>
      <c r="E69" s="106"/>
    </row>
    <row r="70" spans="1:5" x14ac:dyDescent="0.25">
      <c r="A70" s="65" t="s">
        <v>95</v>
      </c>
      <c r="B70" s="2">
        <v>12</v>
      </c>
      <c r="C70" s="74"/>
      <c r="D70" s="127"/>
      <c r="E70" s="106"/>
    </row>
    <row r="71" spans="1:5" x14ac:dyDescent="0.25">
      <c r="A71" s="65" t="s">
        <v>96</v>
      </c>
      <c r="B71" s="2">
        <v>5967</v>
      </c>
      <c r="C71" s="74"/>
      <c r="D71" s="127">
        <v>252</v>
      </c>
      <c r="E71" s="106"/>
    </row>
    <row r="72" spans="1:5" x14ac:dyDescent="0.25">
      <c r="A72" s="65" t="s">
        <v>97</v>
      </c>
      <c r="B72" s="2">
        <v>-3367</v>
      </c>
      <c r="C72" s="74"/>
      <c r="D72" s="127"/>
      <c r="E72" s="106"/>
    </row>
    <row r="73" spans="1:5" x14ac:dyDescent="0.25">
      <c r="A73" s="65" t="s">
        <v>98</v>
      </c>
      <c r="B73" s="2">
        <v>334</v>
      </c>
      <c r="C73" s="74"/>
      <c r="D73" s="127"/>
      <c r="E73" s="106"/>
    </row>
    <row r="74" spans="1:5" x14ac:dyDescent="0.25">
      <c r="A74" s="65" t="s">
        <v>323</v>
      </c>
      <c r="B74" s="2">
        <v>-2577</v>
      </c>
      <c r="C74" s="74"/>
      <c r="D74" s="127">
        <v>4131</v>
      </c>
      <c r="E74" s="106"/>
    </row>
    <row r="75" spans="1:5" x14ac:dyDescent="0.25">
      <c r="A75" s="65" t="s">
        <v>99</v>
      </c>
      <c r="B75" s="2">
        <v>-778</v>
      </c>
      <c r="C75" s="74"/>
      <c r="D75" s="127"/>
      <c r="E75" s="106"/>
    </row>
    <row r="76" spans="1:5" x14ac:dyDescent="0.25">
      <c r="A76" s="65" t="s">
        <v>100</v>
      </c>
      <c r="B76" s="2">
        <v>81</v>
      </c>
      <c r="C76" s="74"/>
      <c r="D76" s="127">
        <v>61</v>
      </c>
      <c r="E76" s="106"/>
    </row>
    <row r="77" spans="1:5" x14ac:dyDescent="0.25">
      <c r="A77" s="65" t="s">
        <v>101</v>
      </c>
      <c r="B77" s="2">
        <v>-2172</v>
      </c>
      <c r="C77" s="74"/>
      <c r="D77" s="127"/>
      <c r="E77" s="106"/>
    </row>
    <row r="78" spans="1:5" x14ac:dyDescent="0.25">
      <c r="A78" s="65" t="s">
        <v>102</v>
      </c>
      <c r="B78" s="2">
        <v>-2130</v>
      </c>
      <c r="C78" s="74"/>
      <c r="D78" s="127"/>
      <c r="E78" s="106"/>
    </row>
    <row r="79" spans="1:5" x14ac:dyDescent="0.25">
      <c r="A79" s="65" t="s">
        <v>103</v>
      </c>
      <c r="B79" s="2">
        <v>-236</v>
      </c>
      <c r="C79" s="74"/>
      <c r="D79" s="127">
        <v>78</v>
      </c>
      <c r="E79" s="106"/>
    </row>
    <row r="80" spans="1:5" x14ac:dyDescent="0.25">
      <c r="A80" s="65" t="s">
        <v>105</v>
      </c>
      <c r="B80" s="2">
        <v>19474</v>
      </c>
      <c r="C80" s="74"/>
      <c r="D80" s="127">
        <v>13</v>
      </c>
      <c r="E80" s="106"/>
    </row>
    <row r="81" spans="1:5" x14ac:dyDescent="0.25">
      <c r="A81" s="65" t="s">
        <v>107</v>
      </c>
      <c r="B81" s="2">
        <v>355</v>
      </c>
      <c r="C81" s="74"/>
      <c r="D81" s="127">
        <v>-21</v>
      </c>
      <c r="E81" s="106"/>
    </row>
    <row r="82" spans="1:5" x14ac:dyDescent="0.25">
      <c r="A82" s="65" t="s">
        <v>200</v>
      </c>
      <c r="B82" s="2">
        <v>-34835</v>
      </c>
      <c r="C82" s="74"/>
      <c r="D82" s="127"/>
      <c r="E82" s="106"/>
    </row>
    <row r="83" spans="1:5" x14ac:dyDescent="0.25">
      <c r="A83" s="65" t="s">
        <v>108</v>
      </c>
      <c r="B83" s="2">
        <v>9012</v>
      </c>
      <c r="C83" s="74"/>
      <c r="D83" s="127">
        <v>-71</v>
      </c>
      <c r="E83" s="106"/>
    </row>
    <row r="84" spans="1:5" x14ac:dyDescent="0.25">
      <c r="A84" s="65" t="s">
        <v>109</v>
      </c>
      <c r="B84" s="2">
        <v>-3860</v>
      </c>
      <c r="C84" s="74"/>
      <c r="D84" s="127">
        <v>90</v>
      </c>
      <c r="E84" s="106"/>
    </row>
    <row r="85" spans="1:5" x14ac:dyDescent="0.25">
      <c r="A85" s="65" t="s">
        <v>110</v>
      </c>
      <c r="B85" s="2">
        <v>-7639</v>
      </c>
      <c r="C85" s="74"/>
      <c r="D85" s="127"/>
      <c r="E85" s="106"/>
    </row>
    <row r="86" spans="1:5" x14ac:dyDescent="0.25">
      <c r="A86" s="65" t="s">
        <v>111</v>
      </c>
      <c r="B86" s="2">
        <v>-125</v>
      </c>
      <c r="C86" s="74"/>
      <c r="D86" s="127"/>
      <c r="E86" s="106"/>
    </row>
    <row r="87" spans="1:5" x14ac:dyDescent="0.25">
      <c r="A87" s="65" t="s">
        <v>112</v>
      </c>
      <c r="B87" s="2">
        <v>-2827</v>
      </c>
      <c r="C87" s="74"/>
      <c r="D87" s="127"/>
      <c r="E87" s="106"/>
    </row>
    <row r="88" spans="1:5" x14ac:dyDescent="0.25">
      <c r="A88" s="65" t="s">
        <v>113</v>
      </c>
      <c r="B88" s="2">
        <v>-1607</v>
      </c>
      <c r="C88" s="74"/>
      <c r="D88" s="127"/>
      <c r="E88" s="106"/>
    </row>
    <row r="89" spans="1:5" x14ac:dyDescent="0.25">
      <c r="A89" s="65" t="s">
        <v>364</v>
      </c>
      <c r="B89" s="2">
        <v>-330</v>
      </c>
      <c r="C89" s="74"/>
      <c r="D89" s="127"/>
      <c r="E89" s="106"/>
    </row>
    <row r="90" spans="1:5" x14ac:dyDescent="0.25">
      <c r="A90" s="65" t="s">
        <v>114</v>
      </c>
      <c r="B90" s="2">
        <v>54809</v>
      </c>
      <c r="C90" s="74"/>
      <c r="D90" s="127">
        <v>135</v>
      </c>
      <c r="E90" s="106"/>
    </row>
    <row r="91" spans="1:5" x14ac:dyDescent="0.25">
      <c r="A91" s="65" t="s">
        <v>115</v>
      </c>
      <c r="B91" s="2">
        <v>21</v>
      </c>
      <c r="C91" s="74"/>
      <c r="D91" s="127">
        <v>21</v>
      </c>
      <c r="E91" s="106"/>
    </row>
    <row r="92" spans="1:5" x14ac:dyDescent="0.25">
      <c r="A92" s="65" t="s">
        <v>116</v>
      </c>
      <c r="B92" s="2">
        <v>-21</v>
      </c>
      <c r="C92" s="74"/>
      <c r="D92" s="127">
        <v>-1</v>
      </c>
      <c r="E92" s="106"/>
    </row>
    <row r="93" spans="1:5" x14ac:dyDescent="0.25">
      <c r="A93" s="65" t="s">
        <v>117</v>
      </c>
      <c r="B93" s="2">
        <v>-432</v>
      </c>
      <c r="C93" s="74"/>
      <c r="D93" s="127"/>
      <c r="E93" s="106"/>
    </row>
    <row r="94" spans="1:5" x14ac:dyDescent="0.25">
      <c r="A94" s="65" t="s">
        <v>118</v>
      </c>
      <c r="B94" s="2">
        <v>100</v>
      </c>
      <c r="C94" s="74"/>
      <c r="D94" s="127">
        <v>100</v>
      </c>
      <c r="E94" s="106"/>
    </row>
    <row r="95" spans="1:5" x14ac:dyDescent="0.25">
      <c r="A95" s="65" t="s">
        <v>119</v>
      </c>
      <c r="B95" s="2">
        <v>999</v>
      </c>
      <c r="C95" s="74"/>
      <c r="D95" s="127"/>
      <c r="E95" s="106"/>
    </row>
    <row r="96" spans="1:5" x14ac:dyDescent="0.25">
      <c r="A96" s="65" t="s">
        <v>120</v>
      </c>
      <c r="B96" s="2">
        <v>-24</v>
      </c>
      <c r="C96" s="74"/>
      <c r="D96" s="127"/>
      <c r="E96" s="106"/>
    </row>
    <row r="97" spans="1:11" x14ac:dyDescent="0.25">
      <c r="A97" s="65" t="s">
        <v>121</v>
      </c>
      <c r="B97" s="2">
        <v>2479</v>
      </c>
      <c r="C97" s="74"/>
      <c r="D97" s="127"/>
      <c r="E97" s="106"/>
    </row>
    <row r="98" spans="1:11" x14ac:dyDescent="0.25">
      <c r="A98" s="65" t="s">
        <v>122</v>
      </c>
      <c r="B98" s="2">
        <v>-222</v>
      </c>
      <c r="C98" s="74"/>
      <c r="D98" s="127"/>
      <c r="E98" s="106"/>
    </row>
    <row r="99" spans="1:11" x14ac:dyDescent="0.25">
      <c r="A99" s="65" t="s">
        <v>124</v>
      </c>
      <c r="B99" s="2">
        <v>-6304</v>
      </c>
      <c r="C99" s="74"/>
      <c r="D99" s="127"/>
      <c r="E99" s="106"/>
    </row>
    <row r="100" spans="1:11" x14ac:dyDescent="0.25">
      <c r="A100" s="66" t="s">
        <v>50</v>
      </c>
      <c r="B100" s="64"/>
      <c r="C100" s="64">
        <f>SUM(B49:B99)</f>
        <v>-24250</v>
      </c>
      <c r="D100" s="128">
        <f>SUM(D49:D99)</f>
        <v>5261</v>
      </c>
      <c r="E100" s="106"/>
    </row>
    <row r="101" spans="1:11" x14ac:dyDescent="0.25">
      <c r="A101" s="65"/>
      <c r="C101" s="74"/>
      <c r="D101" s="127"/>
      <c r="E101" s="106"/>
    </row>
    <row r="102" spans="1:11" x14ac:dyDescent="0.25">
      <c r="A102" s="62" t="s">
        <v>126</v>
      </c>
      <c r="C102" s="25"/>
      <c r="D102" s="130"/>
      <c r="E102" s="67"/>
      <c r="G102" s="18"/>
      <c r="K102" s="70"/>
    </row>
    <row r="103" spans="1:11" x14ac:dyDescent="0.25">
      <c r="A103" s="2" t="s">
        <v>128</v>
      </c>
      <c r="B103" s="2">
        <v>15353</v>
      </c>
      <c r="C103" s="25"/>
      <c r="D103" s="127">
        <v>-1485</v>
      </c>
      <c r="E103" s="67"/>
      <c r="G103" s="33"/>
      <c r="K103" s="70"/>
    </row>
    <row r="104" spans="1:11" x14ac:dyDescent="0.25">
      <c r="A104" s="2" t="s">
        <v>130</v>
      </c>
      <c r="B104" s="2">
        <v>1241</v>
      </c>
      <c r="C104" s="25"/>
      <c r="D104" s="127"/>
      <c r="E104" s="67"/>
      <c r="G104" s="33"/>
    </row>
    <row r="105" spans="1:11" x14ac:dyDescent="0.25">
      <c r="A105" s="2" t="s">
        <v>132</v>
      </c>
      <c r="B105" s="2">
        <v>14922</v>
      </c>
      <c r="C105" s="25"/>
      <c r="D105" s="127"/>
      <c r="E105" s="67"/>
      <c r="G105" s="33"/>
    </row>
    <row r="106" spans="1:11" x14ac:dyDescent="0.25">
      <c r="A106" s="2" t="s">
        <v>201</v>
      </c>
      <c r="B106" s="2">
        <v>-2163</v>
      </c>
      <c r="C106" s="25"/>
      <c r="D106" s="127"/>
      <c r="E106" s="67"/>
      <c r="G106" s="33"/>
    </row>
    <row r="107" spans="1:11" x14ac:dyDescent="0.25">
      <c r="A107" s="2" t="s">
        <v>134</v>
      </c>
      <c r="B107" s="2">
        <v>1143</v>
      </c>
      <c r="C107" s="25"/>
      <c r="D107" s="127">
        <v>-138</v>
      </c>
      <c r="E107" s="67"/>
      <c r="G107" s="33"/>
    </row>
    <row r="108" spans="1:11" x14ac:dyDescent="0.25">
      <c r="A108" s="2" t="s">
        <v>135</v>
      </c>
      <c r="B108" s="2">
        <v>60552</v>
      </c>
      <c r="C108" s="25"/>
      <c r="D108" s="127">
        <v>133</v>
      </c>
      <c r="E108" s="67"/>
      <c r="G108" s="33"/>
    </row>
    <row r="109" spans="1:11" x14ac:dyDescent="0.25">
      <c r="A109" s="2" t="s">
        <v>137</v>
      </c>
      <c r="B109" s="2">
        <v>9210</v>
      </c>
      <c r="C109" s="25"/>
      <c r="D109" s="127">
        <v>392</v>
      </c>
      <c r="E109" s="67"/>
      <c r="G109" s="33"/>
    </row>
    <row r="110" spans="1:11" x14ac:dyDescent="0.25">
      <c r="A110" s="2" t="s">
        <v>139</v>
      </c>
      <c r="B110" s="2">
        <v>15501</v>
      </c>
      <c r="C110" s="25"/>
      <c r="D110" s="127">
        <v>30</v>
      </c>
      <c r="E110" s="67"/>
      <c r="G110" s="33"/>
      <c r="H110" s="18"/>
    </row>
    <row r="111" spans="1:11" x14ac:dyDescent="0.25">
      <c r="A111" s="66" t="s">
        <v>50</v>
      </c>
      <c r="B111" s="77"/>
      <c r="C111" s="125">
        <f>SUM(B103:B110)</f>
        <v>115759</v>
      </c>
      <c r="D111" s="131">
        <f>SUM(D103:D110)</f>
        <v>-1068</v>
      </c>
      <c r="E111" s="67"/>
      <c r="G111" s="18"/>
      <c r="H111" s="18"/>
    </row>
    <row r="112" spans="1:11" x14ac:dyDescent="0.25">
      <c r="A112" s="66"/>
      <c r="B112" s="1"/>
      <c r="C112" s="117"/>
      <c r="D112" s="132"/>
      <c r="E112" s="67"/>
      <c r="G112" s="18"/>
      <c r="H112" s="18"/>
    </row>
    <row r="113" spans="1:8" x14ac:dyDescent="0.25">
      <c r="A113" t="s">
        <v>141</v>
      </c>
      <c r="B113" s="67">
        <v>33</v>
      </c>
      <c r="C113" s="67"/>
      <c r="D113" s="127">
        <v>33</v>
      </c>
      <c r="E113" s="67"/>
      <c r="G113" s="33"/>
      <c r="H113" s="18"/>
    </row>
    <row r="114" spans="1:8" x14ac:dyDescent="0.25">
      <c r="A114" s="66" t="s">
        <v>142</v>
      </c>
      <c r="B114" s="68"/>
      <c r="C114" s="68">
        <f>B113</f>
        <v>33</v>
      </c>
      <c r="D114" s="129">
        <f>SUM(D113)</f>
        <v>33</v>
      </c>
      <c r="E114" s="67"/>
      <c r="G114" s="33"/>
      <c r="H114" s="18"/>
    </row>
    <row r="115" spans="1:8" x14ac:dyDescent="0.25">
      <c r="A115" s="66"/>
      <c r="B115" s="76"/>
      <c r="C115" s="76"/>
      <c r="D115" s="127"/>
      <c r="E115" s="67"/>
      <c r="G115" s="33"/>
      <c r="H115" s="18"/>
    </row>
    <row r="116" spans="1:8" x14ac:dyDescent="0.25">
      <c r="A116" t="s">
        <v>202</v>
      </c>
      <c r="B116" s="76">
        <v>-4817</v>
      </c>
      <c r="C116" s="76"/>
      <c r="D116" s="127">
        <v>-10788</v>
      </c>
      <c r="E116" s="67"/>
      <c r="G116" s="33"/>
      <c r="H116" s="18"/>
    </row>
    <row r="117" spans="1:8" x14ac:dyDescent="0.25">
      <c r="A117" s="66" t="s">
        <v>63</v>
      </c>
      <c r="B117" s="68"/>
      <c r="C117" s="68">
        <f>B116</f>
        <v>-4817</v>
      </c>
      <c r="D117" s="129">
        <f>SUM(D116)</f>
        <v>-10788</v>
      </c>
      <c r="E117" s="67"/>
      <c r="G117" s="33"/>
      <c r="H117" s="18"/>
    </row>
    <row r="118" spans="1:8" x14ac:dyDescent="0.25">
      <c r="A118" s="66"/>
      <c r="B118" s="76"/>
      <c r="C118" s="76"/>
      <c r="D118" s="127"/>
      <c r="E118" s="67"/>
      <c r="G118" s="33"/>
      <c r="H118" s="18"/>
    </row>
    <row r="119" spans="1:8" x14ac:dyDescent="0.25">
      <c r="A119" t="s">
        <v>144</v>
      </c>
      <c r="B119" s="67">
        <f>79446+18699</f>
        <v>98145</v>
      </c>
      <c r="C119" s="76"/>
      <c r="D119" s="127">
        <v>51194</v>
      </c>
      <c r="E119" s="67"/>
      <c r="G119" s="33"/>
      <c r="H119" s="18"/>
    </row>
    <row r="120" spans="1:8" x14ac:dyDescent="0.25">
      <c r="A120" s="66" t="s">
        <v>145</v>
      </c>
      <c r="B120" s="68"/>
      <c r="C120" s="68">
        <f>SUM(B119:B119)</f>
        <v>98145</v>
      </c>
      <c r="D120" s="129">
        <f>SUM(D119:D119)</f>
        <v>51194</v>
      </c>
      <c r="E120" s="67"/>
      <c r="G120" s="33"/>
      <c r="H120" s="18"/>
    </row>
    <row r="121" spans="1:8" x14ac:dyDescent="0.25">
      <c r="A121" s="66"/>
      <c r="B121" s="76"/>
      <c r="C121" s="76"/>
      <c r="D121" s="127"/>
      <c r="G121" s="33"/>
      <c r="H121" s="18"/>
    </row>
    <row r="122" spans="1:8" x14ac:dyDescent="0.25">
      <c r="A122" s="2" t="s">
        <v>129</v>
      </c>
      <c r="B122" s="2">
        <v>176145</v>
      </c>
      <c r="C122" s="25"/>
      <c r="D122" s="127">
        <v>10610</v>
      </c>
      <c r="G122" s="33"/>
      <c r="H122" s="18"/>
    </row>
    <row r="123" spans="1:8" x14ac:dyDescent="0.25">
      <c r="A123" s="66" t="s">
        <v>523</v>
      </c>
      <c r="B123" s="68"/>
      <c r="C123" s="68">
        <f>SUM(B121:B122)</f>
        <v>176145</v>
      </c>
      <c r="D123" s="129">
        <f>SUM(D121:D122)</f>
        <v>10610</v>
      </c>
    </row>
    <row r="124" spans="1:8" x14ac:dyDescent="0.25">
      <c r="C124" s="67"/>
    </row>
    <row r="125" spans="1:8" x14ac:dyDescent="0.25">
      <c r="C125" s="67"/>
    </row>
    <row r="126" spans="1:8" x14ac:dyDescent="0.25">
      <c r="C126" s="67"/>
    </row>
    <row r="127" spans="1:8" x14ac:dyDescent="0.25">
      <c r="C127" s="67"/>
    </row>
  </sheetData>
  <mergeCells count="1">
    <mergeCell ref="D5:J5"/>
  </mergeCells>
  <printOptions horizontalCentered="1"/>
  <pageMargins left="0.5" right="0.5" top="0.5" bottom="0.5" header="0.3" footer="0.3"/>
  <pageSetup scale="82" fitToHeight="0" orientation="landscape" r:id="rId1"/>
  <headerFooter>
    <oddFooter>&amp;L&amp;8&amp;D&amp;C&amp;8&amp;P&amp;R&amp;8&amp;A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B4A5B-8C4D-451F-AC70-B5F493EF9B43}">
  <sheetPr>
    <tabColor theme="7"/>
    <pageSetUpPr fitToPage="1"/>
  </sheetPr>
  <dimension ref="A1:O23"/>
  <sheetViews>
    <sheetView zoomScaleNormal="100" workbookViewId="0">
      <selection activeCell="H15" sqref="H15"/>
    </sheetView>
  </sheetViews>
  <sheetFormatPr defaultColWidth="8.85546875" defaultRowHeight="15" x14ac:dyDescent="0.25"/>
  <cols>
    <col min="1" max="1" width="25.7109375" style="2" customWidth="1"/>
    <col min="2" max="6" width="13" style="1" customWidth="1"/>
    <col min="7" max="7" width="14.28515625" style="1" customWidth="1"/>
    <col min="8" max="8" width="13" style="1" bestFit="1" customWidth="1"/>
    <col min="9" max="11" width="13" style="1" customWidth="1"/>
    <col min="12" max="20" width="14" style="2" customWidth="1"/>
    <col min="21" max="16384" width="8.85546875" style="2"/>
  </cols>
  <sheetData>
    <row r="1" spans="1:15" ht="25.9" customHeight="1" x14ac:dyDescent="0.3">
      <c r="A1" s="3"/>
    </row>
    <row r="2" spans="1:15" ht="25.9" customHeight="1" x14ac:dyDescent="0.3">
      <c r="A2" s="3"/>
    </row>
    <row r="3" spans="1:15" ht="18.75" customHeight="1" x14ac:dyDescent="0.3">
      <c r="A3" s="3" t="s">
        <v>529</v>
      </c>
      <c r="K3" s="6" t="str">
        <f>+'Attachment A - Base'!K3</f>
        <v>BPA #26-01</v>
      </c>
    </row>
    <row r="4" spans="1:15" ht="20.100000000000001" customHeight="1" x14ac:dyDescent="0.25">
      <c r="A4" s="17">
        <f>+'Attachment A - Base'!A4</f>
        <v>46240</v>
      </c>
      <c r="B4" s="109"/>
    </row>
    <row r="5" spans="1:15" ht="15.75" x14ac:dyDescent="0.25">
      <c r="A5" s="17"/>
      <c r="B5" s="157"/>
      <c r="C5" s="157"/>
      <c r="D5" s="157"/>
      <c r="E5" s="157"/>
      <c r="F5" s="157"/>
      <c r="G5" s="157"/>
      <c r="H5" s="157"/>
      <c r="I5" s="157"/>
      <c r="J5" s="157"/>
      <c r="K5" s="157"/>
    </row>
    <row r="6" spans="1:15" x14ac:dyDescent="0.25">
      <c r="H6" s="19"/>
      <c r="K6" s="19"/>
    </row>
    <row r="7" spans="1:15" ht="90.75" thickBot="1" x14ac:dyDescent="0.3">
      <c r="A7" s="4"/>
      <c r="B7" s="5" t="s">
        <v>510</v>
      </c>
      <c r="C7" s="5" t="s">
        <v>511</v>
      </c>
      <c r="D7" s="5" t="s">
        <v>514</v>
      </c>
      <c r="E7" s="5" t="s">
        <v>515</v>
      </c>
      <c r="F7" s="5" t="s">
        <v>516</v>
      </c>
      <c r="G7" s="5" t="s">
        <v>551</v>
      </c>
      <c r="H7" s="20" t="s">
        <v>512</v>
      </c>
      <c r="I7" s="5" t="s">
        <v>514</v>
      </c>
      <c r="J7" s="5" t="s">
        <v>516</v>
      </c>
      <c r="K7" s="20" t="s">
        <v>513</v>
      </c>
    </row>
    <row r="8" spans="1:15" ht="19.149999999999999" customHeight="1" x14ac:dyDescent="0.25">
      <c r="A8" s="14"/>
      <c r="B8" s="16"/>
      <c r="C8" s="16"/>
      <c r="D8" s="16"/>
      <c r="E8" s="16"/>
      <c r="F8" s="16"/>
      <c r="G8" s="16"/>
      <c r="H8" s="21"/>
      <c r="I8" s="16"/>
      <c r="J8" s="16"/>
      <c r="K8" s="21"/>
    </row>
    <row r="9" spans="1:15" ht="19.149999999999999" customHeight="1" x14ac:dyDescent="0.25">
      <c r="A9" s="2" t="s">
        <v>9</v>
      </c>
      <c r="B9" s="7">
        <v>-127128</v>
      </c>
      <c r="C9" s="7">
        <f>-1914564+141756-2784</f>
        <v>-1775592</v>
      </c>
      <c r="D9" s="7">
        <f>-943768</f>
        <v>-943768</v>
      </c>
      <c r="E9" s="7">
        <v>-5058546</v>
      </c>
      <c r="F9" s="7"/>
      <c r="G9" s="7"/>
      <c r="H9" s="22">
        <f t="shared" ref="H9:H16" si="0">SUM(B9:G9)</f>
        <v>-7905034</v>
      </c>
      <c r="I9" s="7">
        <f>-101311</f>
        <v>-101311</v>
      </c>
      <c r="J9" s="7"/>
      <c r="K9" s="22">
        <f t="shared" ref="K9:K16" si="1">SUM(I9:J9)</f>
        <v>-101311</v>
      </c>
    </row>
    <row r="10" spans="1:15" ht="19.149999999999999" customHeight="1" x14ac:dyDescent="0.25">
      <c r="A10" s="2" t="s">
        <v>10</v>
      </c>
      <c r="B10" s="7">
        <v>127128</v>
      </c>
      <c r="C10" s="7"/>
      <c r="D10" s="7">
        <f>-(3096+220080)</f>
        <v>-223176</v>
      </c>
      <c r="E10" s="7"/>
      <c r="F10" s="7">
        <f>-6146672-246239</f>
        <v>-6392911</v>
      </c>
      <c r="G10" s="7"/>
      <c r="H10" s="22">
        <f t="shared" si="0"/>
        <v>-6488959</v>
      </c>
      <c r="I10" s="7"/>
      <c r="J10" s="7">
        <f>-470784</f>
        <v>-470784</v>
      </c>
      <c r="K10" s="22">
        <f t="shared" si="1"/>
        <v>-470784</v>
      </c>
      <c r="L10" s="105"/>
    </row>
    <row r="11" spans="1:15" ht="19.149999999999999" customHeight="1" x14ac:dyDescent="0.25">
      <c r="A11" s="2" t="s">
        <v>11</v>
      </c>
      <c r="B11" s="7"/>
      <c r="C11" s="7"/>
      <c r="D11" s="7"/>
      <c r="E11" s="7"/>
      <c r="F11" s="7"/>
      <c r="G11" s="7"/>
      <c r="H11" s="22">
        <f t="shared" si="0"/>
        <v>0</v>
      </c>
      <c r="I11" s="7"/>
      <c r="J11" s="7"/>
      <c r="K11" s="22">
        <f t="shared" si="1"/>
        <v>0</v>
      </c>
    </row>
    <row r="12" spans="1:15" ht="19.149999999999999" customHeight="1" x14ac:dyDescent="0.25">
      <c r="A12" s="2" t="s">
        <v>12</v>
      </c>
      <c r="B12" s="7"/>
      <c r="C12" s="7"/>
      <c r="D12" s="7"/>
      <c r="E12" s="7"/>
      <c r="F12" s="7"/>
      <c r="G12" s="7"/>
      <c r="H12" s="22">
        <f t="shared" si="0"/>
        <v>0</v>
      </c>
      <c r="I12" s="7"/>
      <c r="J12" s="7"/>
      <c r="K12" s="22">
        <f t="shared" si="1"/>
        <v>0</v>
      </c>
    </row>
    <row r="13" spans="1:15" ht="19.149999999999999" customHeight="1" x14ac:dyDescent="0.25">
      <c r="A13" s="2" t="s">
        <v>13</v>
      </c>
      <c r="B13" s="7"/>
      <c r="C13" s="7"/>
      <c r="D13" s="7"/>
      <c r="E13" s="7"/>
      <c r="F13" s="7"/>
      <c r="G13" s="7"/>
      <c r="H13" s="22">
        <f t="shared" si="0"/>
        <v>0</v>
      </c>
      <c r="I13" s="7"/>
      <c r="J13" s="7"/>
      <c r="K13" s="22">
        <f t="shared" si="1"/>
        <v>0</v>
      </c>
      <c r="O13" s="97"/>
    </row>
    <row r="14" spans="1:15" ht="19.149999999999999" customHeight="1" x14ac:dyDescent="0.25">
      <c r="A14" s="2" t="s">
        <v>14</v>
      </c>
      <c r="B14" s="7"/>
      <c r="C14" s="7">
        <f>1914564-141756+2784</f>
        <v>1775592</v>
      </c>
      <c r="D14" s="7"/>
      <c r="E14" s="7"/>
      <c r="F14" s="7"/>
      <c r="G14" s="7"/>
      <c r="H14" s="22">
        <f t="shared" si="0"/>
        <v>1775592</v>
      </c>
      <c r="I14" s="7"/>
      <c r="J14" s="7"/>
      <c r="K14" s="22">
        <f t="shared" si="1"/>
        <v>0</v>
      </c>
      <c r="O14" s="97"/>
    </row>
    <row r="15" spans="1:15" ht="19.149999999999999" customHeight="1" x14ac:dyDescent="0.25">
      <c r="A15" s="2" t="s">
        <v>507</v>
      </c>
      <c r="B15" s="7"/>
      <c r="C15" s="7"/>
      <c r="D15" s="7">
        <f>-(D9+D10)</f>
        <v>1166944</v>
      </c>
      <c r="E15" s="7"/>
      <c r="F15" s="7">
        <f>-F10</f>
        <v>6392911</v>
      </c>
      <c r="G15" s="7"/>
      <c r="H15" s="22">
        <f t="shared" si="0"/>
        <v>7559855</v>
      </c>
      <c r="I15" s="7">
        <f>-I9</f>
        <v>101311</v>
      </c>
      <c r="J15" s="7">
        <f>-J10</f>
        <v>470784</v>
      </c>
      <c r="K15" s="22">
        <f t="shared" si="1"/>
        <v>572095</v>
      </c>
      <c r="O15" s="97"/>
    </row>
    <row r="16" spans="1:15" ht="19.149999999999999" customHeight="1" x14ac:dyDescent="0.25">
      <c r="A16" s="2" t="s">
        <v>508</v>
      </c>
      <c r="B16" s="7"/>
      <c r="C16" s="7"/>
      <c r="D16" s="7"/>
      <c r="E16" s="7">
        <v>5058546</v>
      </c>
      <c r="F16" s="7"/>
      <c r="G16" s="7"/>
      <c r="H16" s="22">
        <f t="shared" si="0"/>
        <v>5058546</v>
      </c>
      <c r="I16" s="7"/>
      <c r="J16" s="7"/>
      <c r="K16" s="22">
        <f t="shared" si="1"/>
        <v>0</v>
      </c>
      <c r="O16" s="97"/>
    </row>
    <row r="17" spans="1:15" ht="19.149999999999999" customHeight="1" x14ac:dyDescent="0.25">
      <c r="A17" s="9" t="s">
        <v>15</v>
      </c>
      <c r="B17" s="8">
        <f t="shared" ref="B17:I17" si="2">SUM(B9:B16)</f>
        <v>0</v>
      </c>
      <c r="C17" s="8">
        <f t="shared" si="2"/>
        <v>0</v>
      </c>
      <c r="D17" s="8">
        <f t="shared" ref="D17:G17" si="3">SUM(D9:D16)</f>
        <v>0</v>
      </c>
      <c r="E17" s="8">
        <f t="shared" si="3"/>
        <v>0</v>
      </c>
      <c r="F17" s="8">
        <f t="shared" ref="F17" si="4">SUM(F9:F16)</f>
        <v>0</v>
      </c>
      <c r="G17" s="8">
        <f t="shared" si="3"/>
        <v>0</v>
      </c>
      <c r="H17" s="23">
        <f t="shared" ref="H17" si="5">SUM(H9:H16)</f>
        <v>0</v>
      </c>
      <c r="I17" s="8">
        <f t="shared" si="2"/>
        <v>0</v>
      </c>
      <c r="J17" s="8">
        <f t="shared" ref="J17" si="6">SUM(J9:J16)</f>
        <v>0</v>
      </c>
      <c r="K17" s="23">
        <f t="shared" ref="K17" si="7">SUM(K9:K16)</f>
        <v>0</v>
      </c>
    </row>
    <row r="18" spans="1:15" ht="19.149999999999999" customHeight="1" x14ac:dyDescent="0.25">
      <c r="A18" s="2" t="s">
        <v>16</v>
      </c>
      <c r="B18" s="7"/>
      <c r="C18" s="7"/>
      <c r="D18" s="7"/>
      <c r="E18" s="7"/>
      <c r="F18" s="7"/>
      <c r="G18" s="7"/>
      <c r="H18" s="22">
        <f>SUM(B18:G18)</f>
        <v>0</v>
      </c>
      <c r="J18" s="7"/>
      <c r="K18" s="22">
        <f t="shared" ref="K18:K19" si="8">SUM(I18:J18)</f>
        <v>0</v>
      </c>
      <c r="L18" s="105"/>
    </row>
    <row r="19" spans="1:15" ht="19.149999999999999" customHeight="1" x14ac:dyDescent="0.25">
      <c r="A19" s="2" t="s">
        <v>17</v>
      </c>
      <c r="B19" s="7"/>
      <c r="C19" s="7"/>
      <c r="D19" s="7"/>
      <c r="E19" s="7"/>
      <c r="F19" s="7"/>
      <c r="G19" s="7"/>
      <c r="H19" s="22">
        <f>SUM(B19:G19)</f>
        <v>0</v>
      </c>
      <c r="I19" s="7"/>
      <c r="J19" s="7"/>
      <c r="K19" s="22">
        <f t="shared" si="8"/>
        <v>0</v>
      </c>
      <c r="L19" s="105"/>
    </row>
    <row r="20" spans="1:15" ht="15" customHeight="1" thickBot="1" x14ac:dyDescent="0.3">
      <c r="A20" s="10" t="s">
        <v>18</v>
      </c>
      <c r="B20" s="11">
        <f t="shared" ref="B20:I20" si="9">SUM(B17:B19)</f>
        <v>0</v>
      </c>
      <c r="C20" s="11">
        <f t="shared" si="9"/>
        <v>0</v>
      </c>
      <c r="D20" s="11">
        <f t="shared" ref="D20:G20" si="10">SUM(D17:D19)</f>
        <v>0</v>
      </c>
      <c r="E20" s="11">
        <f t="shared" si="10"/>
        <v>0</v>
      </c>
      <c r="F20" s="11">
        <f t="shared" ref="F20" si="11">SUM(F17:F19)</f>
        <v>0</v>
      </c>
      <c r="G20" s="11">
        <f t="shared" si="10"/>
        <v>0</v>
      </c>
      <c r="H20" s="24">
        <f t="shared" ref="H20" si="12">SUM(H17:H19)</f>
        <v>0</v>
      </c>
      <c r="I20" s="11">
        <f t="shared" si="9"/>
        <v>0</v>
      </c>
      <c r="J20" s="11">
        <f t="shared" ref="J20" si="13">SUM(J17:J19)</f>
        <v>0</v>
      </c>
      <c r="K20" s="24">
        <f t="shared" ref="K20" si="14">SUM(K17:K19)</f>
        <v>0</v>
      </c>
    </row>
    <row r="21" spans="1:15" s="1" customFormat="1" x14ac:dyDescent="0.25">
      <c r="A21" s="99"/>
      <c r="L21" s="2"/>
      <c r="M21" s="2"/>
      <c r="N21" s="2"/>
      <c r="O21" s="2"/>
    </row>
    <row r="22" spans="1:15" x14ac:dyDescent="0.25">
      <c r="A22" s="2" t="s">
        <v>532</v>
      </c>
    </row>
    <row r="23" spans="1:15" x14ac:dyDescent="0.25">
      <c r="A23" s="2" t="s">
        <v>552</v>
      </c>
    </row>
  </sheetData>
  <mergeCells count="1">
    <mergeCell ref="B5:K5"/>
  </mergeCells>
  <printOptions horizontalCentered="1"/>
  <pageMargins left="0.5" right="0.5" top="0.5" bottom="0.5" header="0.3" footer="0.3"/>
  <pageSetup scale="81" fitToHeight="0" orientation="landscape" r:id="rId1"/>
  <headerFooter>
    <oddFooter>&amp;L&amp;8&amp;D&amp;C&amp;8&amp;P&amp;R&amp;8&amp;A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6145D-2882-4B16-B38B-39045051A5A2}">
  <sheetPr>
    <tabColor theme="0" tint="-0.34998626667073579"/>
    <pageSetUpPr fitToPage="1"/>
  </sheetPr>
  <dimension ref="A1:G34"/>
  <sheetViews>
    <sheetView workbookViewId="0"/>
  </sheetViews>
  <sheetFormatPr defaultColWidth="8.85546875" defaultRowHeight="15" x14ac:dyDescent="0.25"/>
  <cols>
    <col min="1" max="1" width="34.42578125" style="2" customWidth="1"/>
    <col min="2" max="2" width="26.85546875" style="2" customWidth="1"/>
    <col min="3" max="7" width="14" style="1" customWidth="1"/>
    <col min="8" max="19" width="14" style="2" customWidth="1"/>
    <col min="20" max="16384" width="8.85546875" style="2"/>
  </cols>
  <sheetData>
    <row r="1" spans="1:7" ht="25.9" customHeight="1" x14ac:dyDescent="0.3">
      <c r="A1" s="3"/>
      <c r="B1" s="3"/>
    </row>
    <row r="2" spans="1:7" ht="25.9" customHeight="1" x14ac:dyDescent="0.3">
      <c r="A2" s="3"/>
      <c r="B2" s="3"/>
    </row>
    <row r="3" spans="1:7" ht="18.75" customHeight="1" x14ac:dyDescent="0.3">
      <c r="A3" s="3" t="s">
        <v>388</v>
      </c>
      <c r="B3" s="3"/>
      <c r="G3" s="6" t="str">
        <f>+'Attachment A - Base'!K3</f>
        <v>BPA #26-01</v>
      </c>
    </row>
    <row r="4" spans="1:7" ht="20.100000000000001" customHeight="1" x14ac:dyDescent="0.25">
      <c r="A4" s="17">
        <f>+'Attachment A - Base'!A4</f>
        <v>46240</v>
      </c>
      <c r="B4" s="17"/>
    </row>
    <row r="5" spans="1:7" x14ac:dyDescent="0.25">
      <c r="C5" s="157"/>
      <c r="D5" s="157"/>
      <c r="E5" s="157"/>
      <c r="F5" s="157"/>
      <c r="G5" s="157"/>
    </row>
    <row r="6" spans="1:7" x14ac:dyDescent="0.25">
      <c r="C6" s="1">
        <v>-1</v>
      </c>
      <c r="D6" s="1">
        <v>-2</v>
      </c>
      <c r="E6" s="30"/>
      <c r="F6" s="1">
        <v>-3</v>
      </c>
      <c r="G6" s="19"/>
    </row>
    <row r="7" spans="1:7" ht="45.75" thickBot="1" x14ac:dyDescent="0.3">
      <c r="A7" s="4"/>
      <c r="B7" s="4"/>
      <c r="C7" s="5" t="s">
        <v>389</v>
      </c>
      <c r="D7" s="5" t="s">
        <v>390</v>
      </c>
      <c r="E7" s="31" t="s">
        <v>391</v>
      </c>
      <c r="F7" s="5" t="s">
        <v>194</v>
      </c>
      <c r="G7" s="20" t="s">
        <v>392</v>
      </c>
    </row>
    <row r="8" spans="1:7" ht="14.45" customHeight="1" x14ac:dyDescent="0.25">
      <c r="A8" s="14"/>
      <c r="B8" s="14"/>
      <c r="C8" s="16"/>
      <c r="D8" s="16"/>
      <c r="E8" s="85"/>
      <c r="F8" s="16"/>
      <c r="G8" s="21"/>
    </row>
    <row r="9" spans="1:7" ht="14.45" customHeight="1" x14ac:dyDescent="0.25">
      <c r="A9" s="84" t="s">
        <v>0</v>
      </c>
      <c r="B9" s="84"/>
      <c r="C9" s="82"/>
      <c r="D9" s="82"/>
      <c r="E9" s="86"/>
      <c r="F9" s="82"/>
      <c r="G9" s="83"/>
    </row>
    <row r="10" spans="1:7" ht="14.45" customHeight="1" x14ac:dyDescent="0.25">
      <c r="A10" s="2" t="s">
        <v>211</v>
      </c>
      <c r="B10" s="1" t="s">
        <v>494</v>
      </c>
      <c r="C10" s="113">
        <v>51558000</v>
      </c>
      <c r="D10" s="113">
        <v>793000</v>
      </c>
      <c r="E10" s="87">
        <f>SUM(C10:D10)</f>
        <v>52351000</v>
      </c>
      <c r="F10" s="96">
        <v>5258093</v>
      </c>
      <c r="G10" s="22">
        <f t="shared" ref="G10:G15" si="0">SUM(E10:F10)</f>
        <v>57609093</v>
      </c>
    </row>
    <row r="11" spans="1:7" ht="14.45" customHeight="1" x14ac:dyDescent="0.25">
      <c r="A11" s="2" t="s">
        <v>212</v>
      </c>
      <c r="B11" s="1" t="s">
        <v>495</v>
      </c>
      <c r="C11" s="113">
        <v>832210</v>
      </c>
      <c r="D11" s="113">
        <v>0</v>
      </c>
      <c r="E11" s="87">
        <f t="shared" ref="E11:E15" si="1">SUM(C11:D11)</f>
        <v>832210</v>
      </c>
      <c r="F11" s="96">
        <v>4780</v>
      </c>
      <c r="G11" s="22">
        <f t="shared" si="0"/>
        <v>836990</v>
      </c>
    </row>
    <row r="12" spans="1:7" ht="14.45" customHeight="1" x14ac:dyDescent="0.25">
      <c r="A12" s="2" t="s">
        <v>213</v>
      </c>
      <c r="B12" s="1" t="s">
        <v>496</v>
      </c>
      <c r="C12" s="113">
        <v>30199</v>
      </c>
      <c r="D12" s="113">
        <v>0</v>
      </c>
      <c r="E12" s="87">
        <f t="shared" si="1"/>
        <v>30199</v>
      </c>
      <c r="F12" s="96">
        <v>221716</v>
      </c>
      <c r="G12" s="22">
        <f t="shared" si="0"/>
        <v>251915</v>
      </c>
    </row>
    <row r="13" spans="1:7" ht="14.45" customHeight="1" x14ac:dyDescent="0.25">
      <c r="A13" s="2" t="s">
        <v>214</v>
      </c>
      <c r="B13" s="1" t="s">
        <v>497</v>
      </c>
      <c r="C13" s="113">
        <v>0</v>
      </c>
      <c r="D13" s="113"/>
      <c r="E13" s="87">
        <f t="shared" si="1"/>
        <v>0</v>
      </c>
      <c r="F13" s="96">
        <v>0</v>
      </c>
      <c r="G13" s="22">
        <f t="shared" si="0"/>
        <v>0</v>
      </c>
    </row>
    <row r="14" spans="1:7" ht="14.45" customHeight="1" x14ac:dyDescent="0.25">
      <c r="A14" s="2" t="s">
        <v>215</v>
      </c>
      <c r="B14" s="1" t="s">
        <v>498</v>
      </c>
      <c r="C14" s="113">
        <v>0</v>
      </c>
      <c r="D14" s="113"/>
      <c r="E14" s="87">
        <f t="shared" si="1"/>
        <v>0</v>
      </c>
      <c r="F14" s="96">
        <v>30565</v>
      </c>
      <c r="G14" s="22">
        <f t="shared" si="0"/>
        <v>30565</v>
      </c>
    </row>
    <row r="15" spans="1:7" ht="14.45" customHeight="1" x14ac:dyDescent="0.25">
      <c r="A15" s="2" t="s">
        <v>216</v>
      </c>
      <c r="B15" s="1"/>
      <c r="C15" s="113">
        <v>0</v>
      </c>
      <c r="D15" s="113"/>
      <c r="E15" s="87">
        <f t="shared" si="1"/>
        <v>0</v>
      </c>
      <c r="F15" s="96"/>
      <c r="G15" s="22">
        <f t="shared" si="0"/>
        <v>0</v>
      </c>
    </row>
    <row r="16" spans="1:7" ht="14.45" customHeight="1" x14ac:dyDescent="0.25">
      <c r="A16" s="9" t="s">
        <v>217</v>
      </c>
      <c r="B16" s="114"/>
      <c r="C16" s="8">
        <f t="shared" ref="C16:G16" si="2">SUM(C10:C15)</f>
        <v>52420409</v>
      </c>
      <c r="D16" s="8">
        <f t="shared" si="2"/>
        <v>793000</v>
      </c>
      <c r="E16" s="78">
        <f t="shared" si="2"/>
        <v>53213409</v>
      </c>
      <c r="F16" s="8">
        <f t="shared" si="2"/>
        <v>5515154</v>
      </c>
      <c r="G16" s="23">
        <f t="shared" si="2"/>
        <v>58728563</v>
      </c>
    </row>
    <row r="17" spans="1:7" ht="14.45" customHeight="1" x14ac:dyDescent="0.25">
      <c r="B17" s="1"/>
      <c r="C17" s="113"/>
      <c r="D17" s="113"/>
      <c r="E17" s="87"/>
      <c r="F17" s="96"/>
      <c r="G17" s="22"/>
    </row>
    <row r="18" spans="1:7" ht="14.45" customHeight="1" x14ac:dyDescent="0.25">
      <c r="A18" s="62" t="s">
        <v>2</v>
      </c>
      <c r="B18" s="134"/>
      <c r="C18" s="113"/>
      <c r="D18" s="113"/>
      <c r="E18" s="87"/>
      <c r="F18" s="96"/>
      <c r="G18" s="22"/>
    </row>
    <row r="19" spans="1:7" ht="14.45" customHeight="1" x14ac:dyDescent="0.25">
      <c r="A19" s="2" t="s">
        <v>218</v>
      </c>
      <c r="B19" s="1" t="s">
        <v>499</v>
      </c>
      <c r="C19" s="113">
        <v>84411</v>
      </c>
      <c r="D19" s="113">
        <f>ROUND((882769*0.1)-C19,0)</f>
        <v>3866</v>
      </c>
      <c r="E19" s="87">
        <f>SUM(C19:D19)</f>
        <v>88277</v>
      </c>
      <c r="F19" s="96">
        <v>15848</v>
      </c>
      <c r="G19" s="22">
        <f>SUM(E19:F19)</f>
        <v>104125</v>
      </c>
    </row>
    <row r="20" spans="1:7" ht="14.45" customHeight="1" x14ac:dyDescent="0.25">
      <c r="A20" s="2" t="s">
        <v>219</v>
      </c>
      <c r="B20" s="4" t="s">
        <v>500</v>
      </c>
      <c r="C20" s="113">
        <v>324177</v>
      </c>
      <c r="D20" s="113">
        <f>ROUND((1385432*0.25)-C20,0)</f>
        <v>22181</v>
      </c>
      <c r="E20" s="87">
        <f t="shared" ref="E20:E21" si="3">SUM(C20:D20)</f>
        <v>346358</v>
      </c>
      <c r="F20" s="96">
        <v>-1132</v>
      </c>
      <c r="G20" s="22">
        <f>SUM(E20:F20)</f>
        <v>345226</v>
      </c>
    </row>
    <row r="21" spans="1:7" ht="14.45" customHeight="1" x14ac:dyDescent="0.25">
      <c r="A21" s="2" t="s">
        <v>220</v>
      </c>
      <c r="B21" s="1" t="s">
        <v>501</v>
      </c>
      <c r="C21" s="113"/>
      <c r="D21" s="113"/>
      <c r="E21" s="87">
        <f t="shared" si="3"/>
        <v>0</v>
      </c>
      <c r="F21" s="96">
        <v>10711</v>
      </c>
      <c r="G21" s="22">
        <f>SUM(E21:F21)</f>
        <v>10711</v>
      </c>
    </row>
    <row r="22" spans="1:7" ht="14.45" customHeight="1" x14ac:dyDescent="0.25">
      <c r="A22" s="9" t="s">
        <v>221</v>
      </c>
      <c r="B22" s="114"/>
      <c r="C22" s="8">
        <f>SUM(C19:C21)</f>
        <v>408588</v>
      </c>
      <c r="D22" s="8">
        <f t="shared" ref="D22" si="4">SUM(D19:D21)</f>
        <v>26047</v>
      </c>
      <c r="E22" s="78">
        <f>SUM(E19:E21)</f>
        <v>434635</v>
      </c>
      <c r="F22" s="8">
        <f>SUM(F19:F21)</f>
        <v>25427</v>
      </c>
      <c r="G22" s="23">
        <f>SUM(G19:G21)</f>
        <v>460062</v>
      </c>
    </row>
    <row r="23" spans="1:7" ht="14.45" customHeight="1" x14ac:dyDescent="0.25">
      <c r="B23" s="1"/>
      <c r="C23" s="73"/>
      <c r="D23" s="73"/>
      <c r="E23" s="80"/>
      <c r="F23" s="73"/>
      <c r="G23" s="22"/>
    </row>
    <row r="24" spans="1:7" ht="14.45" customHeight="1" x14ac:dyDescent="0.25">
      <c r="A24" s="62" t="s">
        <v>222</v>
      </c>
      <c r="B24" s="134"/>
      <c r="C24" s="73"/>
      <c r="D24" s="73"/>
      <c r="E24" s="80"/>
      <c r="F24" s="73"/>
      <c r="G24" s="22"/>
    </row>
    <row r="25" spans="1:7" ht="14.45" customHeight="1" x14ac:dyDescent="0.25">
      <c r="A25" s="2" t="s">
        <v>223</v>
      </c>
      <c r="B25" s="1" t="s">
        <v>505</v>
      </c>
      <c r="C25" s="73">
        <v>0</v>
      </c>
      <c r="D25" s="73">
        <v>0</v>
      </c>
      <c r="E25" s="80">
        <f t="shared" ref="E25:E26" si="5">SUM(C25:D25)</f>
        <v>0</v>
      </c>
      <c r="F25" s="73">
        <v>53000</v>
      </c>
      <c r="G25" s="22">
        <f>SUM(E25:F25)</f>
        <v>53000</v>
      </c>
    </row>
    <row r="26" spans="1:7" ht="14.45" customHeight="1" x14ac:dyDescent="0.25">
      <c r="A26" s="2" t="s">
        <v>492</v>
      </c>
      <c r="B26" s="1" t="s">
        <v>493</v>
      </c>
      <c r="C26" s="73">
        <v>0</v>
      </c>
      <c r="D26" s="73">
        <v>0</v>
      </c>
      <c r="E26" s="80">
        <f t="shared" si="5"/>
        <v>0</v>
      </c>
      <c r="F26" s="73">
        <v>450766</v>
      </c>
      <c r="G26" s="22">
        <f>SUM(E26:F26)</f>
        <v>450766</v>
      </c>
    </row>
    <row r="27" spans="1:7" ht="14.45" customHeight="1" x14ac:dyDescent="0.25">
      <c r="A27" s="9" t="s">
        <v>221</v>
      </c>
      <c r="B27" s="114"/>
      <c r="C27" s="98">
        <f t="shared" ref="C27:G27" si="6">SUM(C25:C26)</f>
        <v>0</v>
      </c>
      <c r="D27" s="98">
        <f t="shared" si="6"/>
        <v>0</v>
      </c>
      <c r="E27" s="78">
        <f t="shared" si="6"/>
        <v>0</v>
      </c>
      <c r="F27" s="98">
        <f t="shared" si="6"/>
        <v>503766</v>
      </c>
      <c r="G27" s="23">
        <f t="shared" si="6"/>
        <v>503766</v>
      </c>
    </row>
    <row r="28" spans="1:7" ht="14.45" customHeight="1" x14ac:dyDescent="0.25">
      <c r="C28" s="56"/>
      <c r="D28" s="56"/>
      <c r="E28" s="80"/>
      <c r="F28" s="56"/>
      <c r="G28" s="22"/>
    </row>
    <row r="29" spans="1:7" ht="14.45" customHeight="1" thickBot="1" x14ac:dyDescent="0.3">
      <c r="A29" s="10" t="s">
        <v>18</v>
      </c>
      <c r="B29" s="10"/>
      <c r="C29" s="11">
        <f>+C16+C22+C27</f>
        <v>52828997</v>
      </c>
      <c r="D29" s="11">
        <f>+D16+D22+D27</f>
        <v>819047</v>
      </c>
      <c r="E29" s="79">
        <f>+E16+E22+E27</f>
        <v>53648044</v>
      </c>
      <c r="F29" s="11">
        <f t="shared" ref="F29:G29" si="7">+F16+F22+F27</f>
        <v>6044347</v>
      </c>
      <c r="G29" s="24">
        <f t="shared" si="7"/>
        <v>59692391</v>
      </c>
    </row>
    <row r="30" spans="1:7" x14ac:dyDescent="0.25">
      <c r="A30" s="2" t="s">
        <v>541</v>
      </c>
    </row>
    <row r="31" spans="1:7" x14ac:dyDescent="0.25">
      <c r="A31" s="2" t="s">
        <v>503</v>
      </c>
    </row>
    <row r="32" spans="1:7" x14ac:dyDescent="0.25">
      <c r="A32" s="2" t="s">
        <v>542</v>
      </c>
    </row>
    <row r="33" spans="1:1" x14ac:dyDescent="0.25">
      <c r="A33" s="2" t="s">
        <v>504</v>
      </c>
    </row>
    <row r="34" spans="1:1" x14ac:dyDescent="0.25">
      <c r="A34" s="2" t="s">
        <v>502</v>
      </c>
    </row>
  </sheetData>
  <mergeCells count="1">
    <mergeCell ref="C5:G5"/>
  </mergeCells>
  <printOptions horizontalCentered="1"/>
  <pageMargins left="0.5" right="0.5" top="0.5" bottom="0.5" header="0.3" footer="0.3"/>
  <pageSetup scale="85" fitToHeight="0" orientation="landscape" r:id="rId1"/>
  <headerFooter>
    <oddFooter>&amp;L&amp;8&amp;D&amp;C&amp;8&amp;P&amp;R&amp;8&amp;A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B496F-ED40-4AAC-A9AF-075688319194}">
  <sheetPr>
    <tabColor rgb="FFFFC000"/>
    <pageSetUpPr fitToPage="1"/>
  </sheetPr>
  <dimension ref="A1:C22"/>
  <sheetViews>
    <sheetView zoomScale="115" zoomScaleNormal="115" workbookViewId="0"/>
  </sheetViews>
  <sheetFormatPr defaultColWidth="8.85546875" defaultRowHeight="15" x14ac:dyDescent="0.25"/>
  <cols>
    <col min="1" max="1" width="26.28515625" style="2" customWidth="1"/>
    <col min="2" max="2" width="13" style="1" customWidth="1"/>
    <col min="3" max="3" width="13.42578125" style="1" customWidth="1"/>
    <col min="4" max="15" width="14" style="2" customWidth="1"/>
    <col min="16" max="16384" width="8.85546875" style="2"/>
  </cols>
  <sheetData>
    <row r="1" spans="1:3" ht="25.9" customHeight="1" x14ac:dyDescent="0.4">
      <c r="A1" s="3"/>
      <c r="C1" s="26"/>
    </row>
    <row r="2" spans="1:3" ht="25.9" customHeight="1" x14ac:dyDescent="0.3">
      <c r="A2" s="3"/>
    </row>
    <row r="3" spans="1:3" ht="18.75" customHeight="1" x14ac:dyDescent="0.3">
      <c r="A3" s="3" t="s">
        <v>393</v>
      </c>
    </row>
    <row r="4" spans="1:3" ht="20.100000000000001" customHeight="1" x14ac:dyDescent="0.25">
      <c r="A4" s="17">
        <f>+'Attachment A - Base'!A4</f>
        <v>46240</v>
      </c>
      <c r="C4" s="6" t="str">
        <f>+'Attachment A - Base'!K3</f>
        <v>BPA #26-01</v>
      </c>
    </row>
    <row r="5" spans="1:3" x14ac:dyDescent="0.25">
      <c r="B5" s="157"/>
      <c r="C5" s="157"/>
    </row>
    <row r="6" spans="1:3" x14ac:dyDescent="0.25">
      <c r="B6" s="1">
        <v>-1</v>
      </c>
      <c r="C6" s="19"/>
    </row>
    <row r="7" spans="1:3" ht="45.75" thickBot="1" x14ac:dyDescent="0.3">
      <c r="A7" s="4"/>
      <c r="B7" s="5" t="s">
        <v>350</v>
      </c>
      <c r="C7" s="20" t="s">
        <v>351</v>
      </c>
    </row>
    <row r="8" spans="1:3" ht="19.149999999999999" customHeight="1" x14ac:dyDescent="0.25">
      <c r="A8" s="14"/>
      <c r="B8" s="16"/>
      <c r="C8" s="21"/>
    </row>
    <row r="9" spans="1:3" ht="19.149999999999999" customHeight="1" x14ac:dyDescent="0.25">
      <c r="A9" s="2" t="s">
        <v>9</v>
      </c>
      <c r="B9" s="7">
        <v>0</v>
      </c>
      <c r="C9" s="22">
        <f t="shared" ref="C9:C13" si="0">SUM(B9:B9)</f>
        <v>0</v>
      </c>
    </row>
    <row r="10" spans="1:3" ht="19.149999999999999" customHeight="1" x14ac:dyDescent="0.25">
      <c r="A10" s="2" t="s">
        <v>10</v>
      </c>
      <c r="B10" s="7">
        <v>1513000</v>
      </c>
      <c r="C10" s="22">
        <f t="shared" si="0"/>
        <v>1513000</v>
      </c>
    </row>
    <row r="11" spans="1:3" ht="19.149999999999999" customHeight="1" x14ac:dyDescent="0.25">
      <c r="A11" s="2" t="s">
        <v>11</v>
      </c>
      <c r="B11" s="7">
        <v>0</v>
      </c>
      <c r="C11" s="22">
        <f t="shared" si="0"/>
        <v>0</v>
      </c>
    </row>
    <row r="12" spans="1:3" ht="19.149999999999999" customHeight="1" x14ac:dyDescent="0.25">
      <c r="A12" s="2" t="s">
        <v>12</v>
      </c>
      <c r="B12" s="7">
        <v>902000</v>
      </c>
      <c r="C12" s="22">
        <f t="shared" si="0"/>
        <v>902000</v>
      </c>
    </row>
    <row r="13" spans="1:3" ht="19.149999999999999" customHeight="1" x14ac:dyDescent="0.25">
      <c r="A13" s="2" t="s">
        <v>13</v>
      </c>
      <c r="B13" s="7">
        <v>0</v>
      </c>
      <c r="C13" s="22">
        <f t="shared" si="0"/>
        <v>0</v>
      </c>
    </row>
    <row r="14" spans="1:3" ht="19.149999999999999" customHeight="1" x14ac:dyDescent="0.25">
      <c r="A14" s="2" t="s">
        <v>14</v>
      </c>
      <c r="B14" s="7">
        <v>0</v>
      </c>
      <c r="C14" s="22">
        <f>SUM(B14:B14)</f>
        <v>0</v>
      </c>
    </row>
    <row r="15" spans="1:3" ht="19.149999999999999" customHeight="1" x14ac:dyDescent="0.25">
      <c r="A15" s="2" t="s">
        <v>507</v>
      </c>
      <c r="B15" s="7">
        <v>0</v>
      </c>
      <c r="C15" s="22">
        <f>SUM(B15:B15)</f>
        <v>0</v>
      </c>
    </row>
    <row r="16" spans="1:3" ht="19.149999999999999" customHeight="1" x14ac:dyDescent="0.25">
      <c r="A16" s="2" t="s">
        <v>508</v>
      </c>
      <c r="B16" s="7">
        <v>0</v>
      </c>
      <c r="C16" s="22">
        <f>SUM(B16:B16)</f>
        <v>0</v>
      </c>
    </row>
    <row r="17" spans="1:3" ht="19.149999999999999" customHeight="1" x14ac:dyDescent="0.25">
      <c r="A17" s="9" t="s">
        <v>15</v>
      </c>
      <c r="B17" s="8">
        <f>SUM(B9:B16)</f>
        <v>2415000</v>
      </c>
      <c r="C17" s="23">
        <f>SUM(C9:C16)</f>
        <v>2415000</v>
      </c>
    </row>
    <row r="18" spans="1:3" ht="19.149999999999999" customHeight="1" x14ac:dyDescent="0.25">
      <c r="B18" s="18"/>
      <c r="C18" s="22"/>
    </row>
    <row r="19" spans="1:3" ht="19.149999999999999" customHeight="1" x14ac:dyDescent="0.25">
      <c r="A19" s="2" t="s">
        <v>17</v>
      </c>
      <c r="B19" s="7"/>
      <c r="C19" s="22">
        <f>SUM(B19:B19)</f>
        <v>0</v>
      </c>
    </row>
    <row r="20" spans="1:3" ht="15" customHeight="1" thickBot="1" x14ac:dyDescent="0.3">
      <c r="A20" s="10" t="s">
        <v>18</v>
      </c>
      <c r="B20" s="11">
        <f t="shared" ref="B20:C20" si="1">SUM(B17:B19)</f>
        <v>2415000</v>
      </c>
      <c r="C20" s="24">
        <f t="shared" si="1"/>
        <v>2415000</v>
      </c>
    </row>
    <row r="21" spans="1:3" ht="15" customHeight="1" x14ac:dyDescent="0.25">
      <c r="A21" s="12"/>
      <c r="B21" s="12"/>
      <c r="C21" s="13"/>
    </row>
    <row r="22" spans="1:3" x14ac:dyDescent="0.25">
      <c r="A22" s="2" t="s">
        <v>543</v>
      </c>
    </row>
  </sheetData>
  <mergeCells count="1">
    <mergeCell ref="B5:C5"/>
  </mergeCells>
  <pageMargins left="0.75" right="0.75" top="0.5" bottom="0.5" header="0.3" footer="0.3"/>
  <pageSetup orientation="landscape" r:id="rId1"/>
  <headerFooter>
    <oddFooter>&amp;L&amp;8&amp;D&amp;C&amp;8&amp;P&amp;R&amp;8&amp;A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bbe2326-318d-4a6a-b4f2-fe4330988081" xsi:nil="true"/>
    <lcf76f155ced4ddcb4097134ff3c332f xmlns="e15b9e73-c977-4054-98ab-a31a3fb0ba9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24FE98A5794489482F1EED8BB33FE" ma:contentTypeVersion="17" ma:contentTypeDescription="Create a new document." ma:contentTypeScope="" ma:versionID="38248171f9b6f6f9de2b7f399f395952">
  <xsd:schema xmlns:xsd="http://www.w3.org/2001/XMLSchema" xmlns:xs="http://www.w3.org/2001/XMLSchema" xmlns:p="http://schemas.microsoft.com/office/2006/metadata/properties" xmlns:ns2="e15b9e73-c977-4054-98ab-a31a3fb0ba9e" xmlns:ns3="8bbe2326-318d-4a6a-b4f2-fe4330988081" targetNamespace="http://schemas.microsoft.com/office/2006/metadata/properties" ma:root="true" ma:fieldsID="243e7bb699b15ee04bcac93031a576b9" ns2:_="" ns3:_="">
    <xsd:import namespace="e15b9e73-c977-4054-98ab-a31a3fb0ba9e"/>
    <xsd:import namespace="8bbe2326-318d-4a6a-b4f2-fe43309880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5b9e73-c977-4054-98ab-a31a3fb0ba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ea4fd07-bb52-4003-87b7-be48705374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be2326-318d-4a6a-b4f2-fe433098808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4eed02-18ea-4b50-ab8c-d324e9bdf24e}" ma:internalName="TaxCatchAll" ma:showField="CatchAllData" ma:web="8bbe2326-318d-4a6a-b4f2-fe43309880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869687-58FF-41F3-A882-1378BB9AA6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F49517-401C-42BA-9031-46B044F7B53F}">
  <ds:schemaRefs>
    <ds:schemaRef ds:uri="e15b9e73-c977-4054-98ab-a31a3fb0ba9e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terms/"/>
    <ds:schemaRef ds:uri="8bbe2326-318d-4a6a-b4f2-fe4330988081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B55F8A5-1AEE-4FE4-A962-04D843C9E6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5b9e73-c977-4054-98ab-a31a3fb0ba9e"/>
    <ds:schemaRef ds:uri="8bbe2326-318d-4a6a-b4f2-fe43309880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21</vt:i4>
      </vt:variant>
    </vt:vector>
  </HeadingPairs>
  <TitlesOfParts>
    <vt:vector size="35" baseType="lpstr">
      <vt:lpstr>Attachment A - Base</vt:lpstr>
      <vt:lpstr>Attachment B - Desig Base</vt:lpstr>
      <vt:lpstr>Attachment C - Fees Base</vt:lpstr>
      <vt:lpstr>Attachment D - One-Time</vt:lpstr>
      <vt:lpstr>Attachment E - Desig One-Time</vt:lpstr>
      <vt:lpstr>Attachment F - Fees One-Time</vt:lpstr>
      <vt:lpstr>Attachment G - Transfers</vt:lpstr>
      <vt:lpstr>Attachment H - Financial Aid</vt:lpstr>
      <vt:lpstr>Attachment I - Lottery Base</vt:lpstr>
      <vt:lpstr>Attachment J - Lottery CFWD</vt:lpstr>
      <vt:lpstr>Attachment K - PCR</vt:lpstr>
      <vt:lpstr>Attachment L - PCR CFWD</vt:lpstr>
      <vt:lpstr>OFFICE USE ONLY</vt:lpstr>
      <vt:lpstr>Attachment F - Financial Aid</vt:lpstr>
      <vt:lpstr>'Attachment A - Base'!Print_Area</vt:lpstr>
      <vt:lpstr>'Attachment B - Desig Base'!Print_Area</vt:lpstr>
      <vt:lpstr>'Attachment C - Fees Base'!Print_Area</vt:lpstr>
      <vt:lpstr>'Attachment D - One-Time'!Print_Area</vt:lpstr>
      <vt:lpstr>'Attachment E - Desig One-Time'!Print_Area</vt:lpstr>
      <vt:lpstr>'Attachment F - Fees One-Time'!Print_Area</vt:lpstr>
      <vt:lpstr>'Attachment F - Financial Aid'!Print_Area</vt:lpstr>
      <vt:lpstr>'Attachment G - Transfers'!Print_Area</vt:lpstr>
      <vt:lpstr>'Attachment H - Financial Aid'!Print_Area</vt:lpstr>
      <vt:lpstr>'Attachment I - Lottery Base'!Print_Area</vt:lpstr>
      <vt:lpstr>'Attachment J - Lottery CFWD'!Print_Area</vt:lpstr>
      <vt:lpstr>'Attachment K - PCR'!Print_Area</vt:lpstr>
      <vt:lpstr>'Attachment L - PCR CFWD'!Print_Area</vt:lpstr>
      <vt:lpstr>'Attachment B - Desig Base'!Print_Titles</vt:lpstr>
      <vt:lpstr>'Attachment C - Fees Base'!Print_Titles</vt:lpstr>
      <vt:lpstr>'Attachment E - Desig One-Time'!Print_Titles</vt:lpstr>
      <vt:lpstr>'Attachment F - Fees One-Time'!Print_Titles</vt:lpstr>
      <vt:lpstr>'Attachment G - Transfers'!Print_Titles</vt:lpstr>
      <vt:lpstr>'Attachment H - Financial Aid'!Print_Titles</vt:lpstr>
      <vt:lpstr>'Attachment K - PCR'!Print_Titles</vt:lpstr>
      <vt:lpstr>'Attachment L - PCR CFWD'!Print_Titles</vt:lpstr>
    </vt:vector>
  </TitlesOfParts>
  <Manager/>
  <Company>Cal Poly Pomona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 Lee</dc:creator>
  <cp:keywords/>
  <dc:description/>
  <cp:lastModifiedBy>Nicholas Norimoto</cp:lastModifiedBy>
  <cp:revision/>
  <cp:lastPrinted>2026-07-30T20:39:29Z</cp:lastPrinted>
  <dcterms:created xsi:type="dcterms:W3CDTF">2023-04-10T21:39:14Z</dcterms:created>
  <dcterms:modified xsi:type="dcterms:W3CDTF">2026-09-01T16:25:51Z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0x010100FEF24FE98A5794489482F1EED8BB33FE</vt:lpwstr>
  </property>
  <property fmtid="{D5CDD505-2E9C-101B-9397-08002B2CF9AE}" pid="3" name="MediaServiceImageTags">
    <vt:lpwstr/>
  </property>
</Properties>
</file>