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fsaa.ad.cpp.edu\departments\budget\Sebastian\Accessible Documents\FY2023-24\"/>
    </mc:Choice>
  </mc:AlternateContent>
  <xr:revisionPtr revIDLastSave="0" documentId="13_ncr:1_{B5F516C9-A5A8-4549-8FA6-8E9333C50394}" xr6:coauthVersionLast="47" xr6:coauthVersionMax="47" xr10:uidLastSave="{00000000-0000-0000-0000-000000000000}"/>
  <bookViews>
    <workbookView xWindow="-28920" yWindow="-120" windowWidth="29040" windowHeight="15720" firstSheet="1" activeTab="4" xr2:uid="{F71691FD-AF3E-414F-85A8-3F844B4112D6}"/>
  </bookViews>
  <sheets>
    <sheet name="Attachment A - Base" sheetId="1" r:id="rId1"/>
    <sheet name="Attachment B - IRP" sheetId="2" r:id="rId2"/>
    <sheet name="Attachment C - Desig" sheetId="4" r:id="rId3"/>
    <sheet name="Attachment D - Fees" sheetId="5" r:id="rId4"/>
    <sheet name="Attachment E - Lottery" sheetId="8" r:id="rId5"/>
    <sheet name="Attachment F - Financial Aid" sheetId="6" state="hidden" r:id="rId6"/>
    <sheet name="Base Adj" sheetId="9" r:id="rId7"/>
  </sheets>
  <definedNames>
    <definedName name="_xlnm.Print_Area" localSheetId="0">'Attachment A - Base'!$A$1:$M$36</definedName>
    <definedName name="_xlnm.Print_Area" localSheetId="1">'Attachment B - IRP'!$A$1:$K$27</definedName>
    <definedName name="_xlnm.Print_Area" localSheetId="2">'Attachment C - Desig'!$A$1:$G$40</definedName>
    <definedName name="_xlnm.Print_Area" localSheetId="3">'Attachment D - Fees'!$A$1:$I$91</definedName>
    <definedName name="_xlnm.Print_Area" localSheetId="4">'Attachment E - Lottery'!$A$1:$G$27</definedName>
    <definedName name="_xlnm.Print_Area" localSheetId="5">'Attachment F - Financial Aid'!$A$1:$E$19</definedName>
    <definedName name="_xlnm.Print_Titles" localSheetId="2">'Attachment C - Desig'!$1:$4</definedName>
    <definedName name="_xlnm.Print_Titles" localSheetId="3">'Attachment D - Fees'!$1:$4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4" l="1"/>
  <c r="H35" i="4"/>
  <c r="G42" i="4"/>
  <c r="I28" i="9"/>
  <c r="I27" i="9"/>
  <c r="I26" i="9"/>
  <c r="I25" i="9"/>
  <c r="I24" i="9"/>
  <c r="I23" i="9"/>
  <c r="I22" i="9"/>
  <c r="H29" i="9"/>
  <c r="C27" i="9"/>
  <c r="G29" i="9"/>
  <c r="F29" i="9"/>
  <c r="E29" i="9"/>
  <c r="B29" i="9"/>
  <c r="C24" i="9"/>
  <c r="D23" i="9"/>
  <c r="C23" i="9"/>
  <c r="D22" i="9"/>
  <c r="D29" i="9" s="1"/>
  <c r="C22" i="9"/>
  <c r="C29" i="9" s="1"/>
  <c r="D11" i="9"/>
  <c r="D14" i="9" s="1"/>
  <c r="C11" i="9"/>
  <c r="C14" i="9" s="1"/>
  <c r="H13" i="9"/>
  <c r="G13" i="9"/>
  <c r="E7" i="9"/>
  <c r="J13" i="9"/>
  <c r="J12" i="9"/>
  <c r="I11" i="9"/>
  <c r="I14" i="9" s="1"/>
  <c r="H11" i="9"/>
  <c r="G11" i="9"/>
  <c r="F11" i="9"/>
  <c r="F14" i="9" s="1"/>
  <c r="J10" i="9"/>
  <c r="J9" i="9"/>
  <c r="J8" i="9"/>
  <c r="J6" i="9"/>
  <c r="B7" i="9"/>
  <c r="B5" i="9"/>
  <c r="J5" i="9" s="1"/>
  <c r="K18" i="1"/>
  <c r="K17" i="1"/>
  <c r="K15" i="1"/>
  <c r="K14" i="1"/>
  <c r="K13" i="1"/>
  <c r="K12" i="1"/>
  <c r="K11" i="1"/>
  <c r="K10" i="1"/>
  <c r="I29" i="9" l="1"/>
  <c r="G14" i="9"/>
  <c r="H14" i="9"/>
  <c r="B11" i="9"/>
  <c r="B14" i="9" s="1"/>
  <c r="J7" i="9"/>
  <c r="J11" i="9" s="1"/>
  <c r="J14" i="9" s="1"/>
  <c r="E11" i="9"/>
  <c r="E14" i="9" s="1"/>
  <c r="I16" i="5"/>
  <c r="A4" i="8"/>
  <c r="F90" i="5"/>
  <c r="F89" i="5"/>
  <c r="F88" i="5"/>
  <c r="F87" i="5"/>
  <c r="F86" i="5"/>
  <c r="E90" i="5"/>
  <c r="E68" i="5"/>
  <c r="G35" i="4" l="1"/>
  <c r="C36" i="4"/>
  <c r="C35" i="4"/>
  <c r="E36" i="4"/>
  <c r="G34" i="4"/>
  <c r="E38" i="4"/>
  <c r="G38" i="4" s="1"/>
  <c r="F37" i="4"/>
  <c r="G37" i="4" s="1"/>
  <c r="G33" i="4"/>
  <c r="G32" i="4"/>
  <c r="G31" i="4"/>
  <c r="G30" i="4"/>
  <c r="D40" i="4"/>
  <c r="B40" i="4"/>
  <c r="F39" i="4"/>
  <c r="G39" i="4" s="1"/>
  <c r="G36" i="4" l="1"/>
  <c r="G40" i="4" s="1"/>
  <c r="E40" i="4"/>
  <c r="C40" i="4"/>
  <c r="F40" i="4"/>
  <c r="B17" i="5" l="1"/>
  <c r="D17" i="4" l="1"/>
  <c r="E15" i="4"/>
  <c r="E18" i="4" s="1"/>
  <c r="D15" i="4"/>
  <c r="D18" i="4" s="1"/>
  <c r="C12" i="8" l="1"/>
  <c r="D12" i="8" s="1"/>
  <c r="D17" i="8" l="1"/>
  <c r="D14" i="8"/>
  <c r="D13" i="8"/>
  <c r="D10" i="8"/>
  <c r="D9" i="8"/>
  <c r="D11" i="8"/>
  <c r="C15" i="8"/>
  <c r="B15" i="8"/>
  <c r="D2" i="8"/>
  <c r="G17" i="5"/>
  <c r="D15" i="8" l="1"/>
  <c r="C18" i="8"/>
  <c r="D18" i="8"/>
  <c r="B18" i="8"/>
  <c r="D15" i="6"/>
  <c r="D18" i="6" s="1"/>
  <c r="C15" i="6"/>
  <c r="C18" i="6" s="1"/>
  <c r="B15" i="6"/>
  <c r="B18" i="6" s="1"/>
  <c r="E15" i="6"/>
  <c r="E18" i="6" s="1"/>
  <c r="A4" i="6"/>
  <c r="E2" i="6"/>
  <c r="F10" i="1" l="1"/>
  <c r="F12" i="1"/>
  <c r="C15" i="5"/>
  <c r="C18" i="5" s="1"/>
  <c r="I17" i="5"/>
  <c r="I14" i="5"/>
  <c r="I13" i="5"/>
  <c r="I12" i="5"/>
  <c r="I11" i="5"/>
  <c r="I10" i="5"/>
  <c r="I9" i="5"/>
  <c r="I15" i="5" l="1"/>
  <c r="I18" i="5" s="1"/>
  <c r="H15" i="5"/>
  <c r="H18" i="5" s="1"/>
  <c r="G15" i="5"/>
  <c r="G18" i="5" s="1"/>
  <c r="F15" i="5"/>
  <c r="F18" i="5" s="1"/>
  <c r="E15" i="5"/>
  <c r="E18" i="5" s="1"/>
  <c r="D15" i="5"/>
  <c r="D18" i="5" s="1"/>
  <c r="B15" i="5"/>
  <c r="A4" i="5"/>
  <c r="I2" i="5"/>
  <c r="G16" i="4"/>
  <c r="J17" i="1" s="1"/>
  <c r="L17" i="1" s="1"/>
  <c r="G14" i="4"/>
  <c r="J15" i="1" s="1"/>
  <c r="G13" i="4"/>
  <c r="J14" i="1" s="1"/>
  <c r="G12" i="4"/>
  <c r="J13" i="1" s="1"/>
  <c r="G11" i="4"/>
  <c r="J12" i="1" s="1"/>
  <c r="G10" i="4"/>
  <c r="J11" i="1" s="1"/>
  <c r="G9" i="4"/>
  <c r="J10" i="1" s="1"/>
  <c r="B17" i="4"/>
  <c r="G17" i="4" s="1"/>
  <c r="J18" i="1" s="1"/>
  <c r="B18" i="5" l="1"/>
  <c r="C15" i="4"/>
  <c r="C18" i="4" s="1"/>
  <c r="B15" i="4"/>
  <c r="B18" i="4" s="1"/>
  <c r="A4" i="4"/>
  <c r="G2" i="4"/>
  <c r="K2" i="2"/>
  <c r="F18" i="1"/>
  <c r="F15" i="4" l="1"/>
  <c r="F18" i="4" s="1"/>
  <c r="G15" i="4"/>
  <c r="G18" i="4" s="1"/>
  <c r="G17" i="2" l="1"/>
  <c r="G18" i="1" s="1"/>
  <c r="H15" i="1"/>
  <c r="H14" i="1"/>
  <c r="H13" i="1"/>
  <c r="H12" i="1"/>
  <c r="H11" i="1"/>
  <c r="H10" i="1"/>
  <c r="G12" i="1"/>
  <c r="A4" i="2"/>
  <c r="H16" i="1" l="1"/>
  <c r="F16" i="1" l="1"/>
  <c r="B12" i="1"/>
  <c r="C12" i="1"/>
  <c r="F19" i="1" l="1"/>
  <c r="C18" i="1"/>
  <c r="B11" i="1"/>
  <c r="C16" i="1" l="1"/>
  <c r="C19" i="1" s="1"/>
  <c r="B11" i="2"/>
  <c r="B16" i="2"/>
  <c r="F16" i="2"/>
  <c r="H16" i="2" l="1"/>
  <c r="F14" i="2" l="1"/>
  <c r="D15" i="1" s="1"/>
  <c r="E15" i="1" s="1"/>
  <c r="F13" i="2"/>
  <c r="D14" i="1" s="1"/>
  <c r="E14" i="1" s="1"/>
  <c r="F11" i="2"/>
  <c r="F10" i="2"/>
  <c r="D11" i="1" s="1"/>
  <c r="E11" i="1" s="1"/>
  <c r="F9" i="2"/>
  <c r="G9" i="2" l="1"/>
  <c r="D10" i="1"/>
  <c r="E10" i="1" s="1"/>
  <c r="H11" i="2"/>
  <c r="K11" i="2" s="1"/>
  <c r="D12" i="1"/>
  <c r="E12" i="1" s="1"/>
  <c r="I12" i="1" s="1"/>
  <c r="L12" i="1" s="1"/>
  <c r="G10" i="2"/>
  <c r="G13" i="2"/>
  <c r="G14" i="2"/>
  <c r="D17" i="2"/>
  <c r="C17" i="2"/>
  <c r="J15" i="2"/>
  <c r="I15" i="2"/>
  <c r="I18" i="2" s="1"/>
  <c r="E15" i="2"/>
  <c r="E18" i="2" s="1"/>
  <c r="C15" i="2"/>
  <c r="B15" i="2"/>
  <c r="B18" i="2" s="1"/>
  <c r="D12" i="2"/>
  <c r="H10" i="2" l="1"/>
  <c r="K10" i="2" s="1"/>
  <c r="G11" i="1"/>
  <c r="I11" i="1" s="1"/>
  <c r="L11" i="1" s="1"/>
  <c r="H13" i="2"/>
  <c r="K13" i="2" s="1"/>
  <c r="G14" i="1"/>
  <c r="I14" i="1" s="1"/>
  <c r="L14" i="1" s="1"/>
  <c r="H9" i="2"/>
  <c r="K9" i="2" s="1"/>
  <c r="G10" i="1"/>
  <c r="H14" i="2"/>
  <c r="K14" i="2" s="1"/>
  <c r="G15" i="1"/>
  <c r="I15" i="1" s="1"/>
  <c r="L15" i="1" s="1"/>
  <c r="F17" i="2"/>
  <c r="H17" i="2" s="1"/>
  <c r="D15" i="2"/>
  <c r="D18" i="2" s="1"/>
  <c r="F12" i="2"/>
  <c r="D13" i="1" s="1"/>
  <c r="E13" i="1" s="1"/>
  <c r="C18" i="2"/>
  <c r="J17" i="2"/>
  <c r="J18" i="2" l="1"/>
  <c r="H18" i="1"/>
  <c r="H19" i="1" s="1"/>
  <c r="I10" i="1"/>
  <c r="L10" i="1" s="1"/>
  <c r="E16" i="1"/>
  <c r="G12" i="2"/>
  <c r="F15" i="2"/>
  <c r="F18" i="2" s="1"/>
  <c r="K17" i="2"/>
  <c r="G15" i="2" l="1"/>
  <c r="G18" i="2" s="1"/>
  <c r="G13" i="1"/>
  <c r="E18" i="1"/>
  <c r="H12" i="2"/>
  <c r="K12" i="2" s="1"/>
  <c r="K15" i="2" s="1"/>
  <c r="K18" i="2" s="1"/>
  <c r="K16" i="1"/>
  <c r="K19" i="1" s="1"/>
  <c r="J16" i="1"/>
  <c r="J19" i="1" s="1"/>
  <c r="B16" i="1"/>
  <c r="B19" i="1" s="1"/>
  <c r="G16" i="1" l="1"/>
  <c r="G19" i="1" s="1"/>
  <c r="I13" i="1"/>
  <c r="E19" i="1"/>
  <c r="I18" i="1"/>
  <c r="L18" i="1" s="1"/>
  <c r="H15" i="2"/>
  <c r="H18" i="2" s="1"/>
  <c r="I16" i="1" l="1"/>
  <c r="L13" i="1"/>
  <c r="L16" i="1" s="1"/>
  <c r="L19" i="1" s="1"/>
  <c r="I19" i="1"/>
  <c r="D16" i="1"/>
  <c r="D19" i="1" s="1"/>
</calcChain>
</file>

<file path=xl/sharedStrings.xml><?xml version="1.0" encoding="utf-8"?>
<sst xmlns="http://schemas.openxmlformats.org/spreadsheetml/2006/main" count="364" uniqueCount="217">
  <si>
    <t>Attachment A: FY23-24 Base Budget Allocation Memo</t>
  </si>
  <si>
    <t>BPA #23-01</t>
  </si>
  <si>
    <t>Undesignated</t>
  </si>
  <si>
    <t>Designated</t>
  </si>
  <si>
    <t>Fees</t>
  </si>
  <si>
    <t>22-23</t>
  </si>
  <si>
    <t>23-24</t>
  </si>
  <si>
    <t>Base
Allocation
as of March</t>
  </si>
  <si>
    <t>Q4
Base
Allocation</t>
  </si>
  <si>
    <t>IRP
Allocation</t>
  </si>
  <si>
    <t>22-23
Base Budget
Allocation</t>
  </si>
  <si>
    <t>Base
Allocation
Transfers</t>
  </si>
  <si>
    <t>IRP
Benefits
Reclass</t>
  </si>
  <si>
    <t>Q1
IRP
Allocation</t>
  </si>
  <si>
    <t>23-24
Base Budget
Allocation</t>
  </si>
  <si>
    <t>23-24
Base
Designated</t>
  </si>
  <si>
    <t>23-24 
Fees
Allocation</t>
  </si>
  <si>
    <t>23-24
Base 
Grand Total</t>
  </si>
  <si>
    <t>Attachment B</t>
  </si>
  <si>
    <t>Attachment C</t>
  </si>
  <si>
    <t>Attachment D</t>
  </si>
  <si>
    <t>Office of the President</t>
  </si>
  <si>
    <t>Academic Affairs</t>
  </si>
  <si>
    <t>Administrative Affairs</t>
  </si>
  <si>
    <t>IT&amp;IP</t>
  </si>
  <si>
    <t>Student Affairs</t>
  </si>
  <si>
    <t>University Advancement</t>
  </si>
  <si>
    <t>Division Total</t>
  </si>
  <si>
    <t>University Level Financial Aid</t>
  </si>
  <si>
    <t>University Level</t>
  </si>
  <si>
    <t>CPP Campus Total</t>
  </si>
  <si>
    <t>(1) FY22-23 base budget as of 3/31/23; agrees with divisional budget draft submitted in March 2023</t>
  </si>
  <si>
    <t>(2) Q4 base budget adjustments</t>
  </si>
  <si>
    <t>(3) See Attachment B, Column (2)</t>
  </si>
  <si>
    <t>(5) Budget allocation transfers:</t>
  </si>
  <si>
    <t xml:space="preserve">   Transfer $4,194,081 for EODA (696, 697, 703) from Admin Affairs to Office of the President</t>
  </si>
  <si>
    <t xml:space="preserve">     Amount reduced by $30,000 for Empathia; transferred back to University Level</t>
  </si>
  <si>
    <t xml:space="preserve">   Transfer $75,796 from Admin Affairs back to University Level</t>
  </si>
  <si>
    <t xml:space="preserve">   Transfer $1,812 Custodian IRP adjustment to Admin Affairs</t>
  </si>
  <si>
    <t xml:space="preserve">   Transfer $992,868 Utilities Dept from University Level/Centrally Managed 96100 to Admin Affairs 72400</t>
  </si>
  <si>
    <t xml:space="preserve">   $790,313 Universlity Level adjustment to match total uses of funds to total sources</t>
  </si>
  <si>
    <t>(6) Attachment B, Column (3)</t>
  </si>
  <si>
    <t>(7) Attachment B, Column (6)</t>
  </si>
  <si>
    <t>(8) Total Undesignated base budget allocation</t>
  </si>
  <si>
    <t>(9) Attachment C, Column (4)</t>
  </si>
  <si>
    <t>Attachment B: In-Range Progression (IRP)</t>
  </si>
  <si>
    <t xml:space="preserve">
IRP Allotment</t>
  </si>
  <si>
    <t>Q1-Q2
Allocation</t>
  </si>
  <si>
    <t xml:space="preserve">
Q3
Allocation</t>
  </si>
  <si>
    <t xml:space="preserve">
Q4
Allocation</t>
  </si>
  <si>
    <t>Total
Allocation</t>
  </si>
  <si>
    <t xml:space="preserve">
Benefits Reclass</t>
  </si>
  <si>
    <t>Prior Year
CFWD</t>
  </si>
  <si>
    <t>Q1
Allocation</t>
  </si>
  <si>
    <t xml:space="preserve">
IRP Allotment Remaining</t>
  </si>
  <si>
    <t>Utilities Dept</t>
  </si>
  <si>
    <t>(1) FY22-23 IRP allotment available for divisional drawdown.</t>
  </si>
  <si>
    <t>(2) Total IRP allocations made in FY22-23.</t>
  </si>
  <si>
    <t>(3) FY22-23 Q4 benefits allocated to divisions to be returned to University level.</t>
  </si>
  <si>
    <t>(4) FY22-23 IRP allotment remaining after annual base allocation and benefits adjustments.</t>
  </si>
  <si>
    <t>(5) FY23-24 IRP allotment available for divisional draw down.</t>
  </si>
  <si>
    <r>
      <t xml:space="preserve">(6) The IRP allocation made as part of the annual base allocation; </t>
    </r>
    <r>
      <rPr>
        <b/>
        <sz val="11"/>
        <color theme="1"/>
        <rFont val="Calibri"/>
        <family val="2"/>
        <scheme val="minor"/>
      </rPr>
      <t>position details to be provided separately to each division.</t>
    </r>
  </si>
  <si>
    <t>(7) IRP Allotment remaining after 23-24 Q1 allocation.  Submit future requests using the shared spreadsheets.</t>
  </si>
  <si>
    <t>Attachment C: Designated Funds</t>
  </si>
  <si>
    <t>23-24
Beg. Base
Budget</t>
  </si>
  <si>
    <t>GI 2025 for Tenure Density</t>
  </si>
  <si>
    <t>GI 2025
Base</t>
  </si>
  <si>
    <t>Basic Needs</t>
  </si>
  <si>
    <t>SUG
Redistribution</t>
  </si>
  <si>
    <t>Total
Base
Allocation</t>
  </si>
  <si>
    <t>(1) Designated base budget as of 6/31/2023 according to Tableau</t>
  </si>
  <si>
    <t>(2) Tenure density commitment earmarked for faculty hires with a start date in 23-24</t>
  </si>
  <si>
    <t>(3) The funding facilitates university progress toward the established goals and metrics for equitable student outcomes</t>
  </si>
  <si>
    <t>(4) The funding supports student outcomes such as persistence and completion by addressing student food and housing insecurity</t>
  </si>
  <si>
    <t>(5) CO's adjustment for SUG redistribution</t>
  </si>
  <si>
    <t>(6) Total Designated base budget allocation.  Divisions must manage their spending in accordance with the designations of the funds.</t>
  </si>
  <si>
    <t xml:space="preserve"> A detail listing is on the following page</t>
  </si>
  <si>
    <t>Designations</t>
  </si>
  <si>
    <t>PRESIDENTS</t>
  </si>
  <si>
    <t>ACADEMIC</t>
  </si>
  <si>
    <t>STUDENT</t>
  </si>
  <si>
    <t>UNIVERSITY</t>
  </si>
  <si>
    <t>TOTAL</t>
  </si>
  <si>
    <t>OFFICE</t>
  </si>
  <si>
    <t>AFFAIRS</t>
  </si>
  <si>
    <t>C1460 - AB1460 Ethnic Studies</t>
  </si>
  <si>
    <t>C3285 - Academic Student Success Prgrm</t>
  </si>
  <si>
    <t>C3320 - Non-Resident Recruitment</t>
  </si>
  <si>
    <t>C3344 - Student Success RFP</t>
  </si>
  <si>
    <t>C3371 - Disability Accommodations</t>
  </si>
  <si>
    <t>GI 2025 - Tenure Track Faculty</t>
  </si>
  <si>
    <t>GI 2025</t>
  </si>
  <si>
    <t>Financial Aid</t>
  </si>
  <si>
    <t>Centrally Held Benefits</t>
  </si>
  <si>
    <t>Attachment D: Fees</t>
  </si>
  <si>
    <t xml:space="preserve">
Category II Student Success
Fee</t>
  </si>
  <si>
    <t>Category II
Student Health
Fee</t>
  </si>
  <si>
    <t>Category II
Orientation
Fee</t>
  </si>
  <si>
    <t>Category III
Misc. Course Fees</t>
  </si>
  <si>
    <t>Category IV
Fees</t>
  </si>
  <si>
    <t>Doctoral
Differential
Fee</t>
  </si>
  <si>
    <t>Graduate Business Prof Fee</t>
  </si>
  <si>
    <t>23-24
Base Budget Allocation</t>
  </si>
  <si>
    <t>Category III</t>
  </si>
  <si>
    <t>Division</t>
  </si>
  <si>
    <t>Description</t>
  </si>
  <si>
    <t>Amount</t>
  </si>
  <si>
    <t>AH202 - Clinical Anatomy Lab</t>
  </si>
  <si>
    <t>AH369 - Lab Animal Mgmt Rules &amp; Reg</t>
  </si>
  <si>
    <t>AH407 - AH407-Critical Care</t>
  </si>
  <si>
    <t>AV114 - Food Animal Science Lab</t>
  </si>
  <si>
    <t>AV125 - Equine Management Lab</t>
  </si>
  <si>
    <t>AV350 - Anat &amp; Phys of Domestic Animal</t>
  </si>
  <si>
    <t>AV430 - Biotech App in Animal Science</t>
  </si>
  <si>
    <t>BI111 - BIO111L - Life Science Lab</t>
  </si>
  <si>
    <t>BI115 - BIO115L - Basic Biology Lab</t>
  </si>
  <si>
    <t>BI121 - BIO121L - Energy &amp; Matter Lab</t>
  </si>
  <si>
    <t>BI122 - BIO1220L-Foundations of Bio</t>
  </si>
  <si>
    <t>BI206 - BIO2060L-Basic Micro Lab</t>
  </si>
  <si>
    <t>BI235 - BIO235L - Human Physiology</t>
  </si>
  <si>
    <t>BI440 - BI440 - Stem Cell Lab</t>
  </si>
  <si>
    <t>BI465 - BI465 - Immunology Lab</t>
  </si>
  <si>
    <t>BI467 - BIO4670L-Gen Virology Lab Fee</t>
  </si>
  <si>
    <t>CE320 - CE3201L-Environ Resource Mgmt</t>
  </si>
  <si>
    <t>CE340 - CE3401L-Geotechnical Engineer</t>
  </si>
  <si>
    <t>CE420 - CE4201L-Water Supply Lab Fee</t>
  </si>
  <si>
    <t>CH121 - CHM 1210L-General Chemistry</t>
  </si>
  <si>
    <t>CH122 - CHM 1220L-General Chemistry</t>
  </si>
  <si>
    <t>CH201 - CHM2010-Elemt Organic Chem Lab</t>
  </si>
  <si>
    <t>CH221 - CHM221L - Quantitative Analys</t>
  </si>
  <si>
    <t>CH314 - CHM3140L-Organic Chem I Lab</t>
  </si>
  <si>
    <t>CH315 - CHM3150L-Organic Chemistry II</t>
  </si>
  <si>
    <t>CH327 - CH3270L-Biochemistry Lab I</t>
  </si>
  <si>
    <t>EE100 - ECE Lab Fee</t>
  </si>
  <si>
    <t>FS427 - FS4271L-Food Processing</t>
  </si>
  <si>
    <t>HT250 - HRT2550-Healthy Amer Cuisine</t>
  </si>
  <si>
    <t>HT281 - HRT281-Professional Cook</t>
  </si>
  <si>
    <t>HT312 - HRT 312-Beer and Culture</t>
  </si>
  <si>
    <t>HT315 - HRT315-Wines,Beer,Spirit</t>
  </si>
  <si>
    <t>HT324 - HRT324-World Cuisine</t>
  </si>
  <si>
    <t>HT325 - HRT325-Prof Health Cooking</t>
  </si>
  <si>
    <t>HT381 - HRT381-Professional Cook I</t>
  </si>
  <si>
    <t>MF201 - Manufact Sys and Proc Lab Fee</t>
  </si>
  <si>
    <t>NT121 - NTR1210L-Intro to Food</t>
  </si>
  <si>
    <t>PL112 - PLT1120L-Landscape Horticultur</t>
  </si>
  <si>
    <t>TX005 - Dietetic Internship</t>
  </si>
  <si>
    <t>TX011 - ADA Trans Evaluation</t>
  </si>
  <si>
    <t>VC312 - VCD1312A-Begin Life Drawing</t>
  </si>
  <si>
    <t>VC330 - VCD1330A-Intro to Clay</t>
  </si>
  <si>
    <t>VC361 - VCD3361A-Life Drawing</t>
  </si>
  <si>
    <t>VC364 - VCD3364A-Ceramica</t>
  </si>
  <si>
    <t>VC365 - VCD3365A-Fundamental of Sculp</t>
  </si>
  <si>
    <t>Category IV</t>
  </si>
  <si>
    <t>Subtotal</t>
  </si>
  <si>
    <t>C4401 - Chemistry</t>
  </si>
  <si>
    <t>C4403 - Diploma</t>
  </si>
  <si>
    <t>C4404 - Physical Education</t>
  </si>
  <si>
    <t>C4406 - Library Obligations</t>
  </si>
  <si>
    <t>C4407 - Library Fines/Late Fees</t>
  </si>
  <si>
    <t>C4413 - Math/Calculus Placement</t>
  </si>
  <si>
    <t>C4415 - Special Exam Revenue</t>
  </si>
  <si>
    <t>TX019 - Credential Evaluation</t>
  </si>
  <si>
    <t>TX038 - Grad Writing Test</t>
  </si>
  <si>
    <t>TX040 - IGE Trust</t>
  </si>
  <si>
    <t>TX048 - PCPT</t>
  </si>
  <si>
    <t>TX051 - Musical Instrument Repair</t>
  </si>
  <si>
    <t>TX058 - Proj &amp; Thesis Binding</t>
  </si>
  <si>
    <t>Admin Affairs</t>
  </si>
  <si>
    <t>TX008 - Univ Acctg</t>
  </si>
  <si>
    <t>501813 - Medical Services</t>
  </si>
  <si>
    <t>Advancement</t>
  </si>
  <si>
    <t>C4402 - Commencement</t>
  </si>
  <si>
    <t>Attachment E: Lottery Fund</t>
  </si>
  <si>
    <t>*</t>
  </si>
  <si>
    <t>(1) Lottery (TY033) base budget as of 6/31/2023 according to Tableau</t>
  </si>
  <si>
    <t>(2) New allocation includes $222,000 beginning balance held centrally, plus new CO allocation of $235,000</t>
  </si>
  <si>
    <t>(3) The $902,000 base budget for IT&amp;IP is designated for recurring classroom instructional technology renewal or replacement such as</t>
  </si>
  <si>
    <t xml:space="preserve">HyFlex or Smart classroom equipment.  </t>
  </si>
  <si>
    <t>*Allocation will be held until the division provides a budget plan with a narrative about how the division plans to utilize</t>
  </si>
  <si>
    <t xml:space="preserve"> this fund to replace &amp; upgrade classroom equipment</t>
  </si>
  <si>
    <t>Attachment F: Financial Aid</t>
  </si>
  <si>
    <t>Base Allocation Transfers</t>
  </si>
  <si>
    <t>EODA</t>
  </si>
  <si>
    <t>Transfer</t>
  </si>
  <si>
    <t>Empathia</t>
  </si>
  <si>
    <t>Offset</t>
  </si>
  <si>
    <t>Total</t>
  </si>
  <si>
    <t>Custodian</t>
  </si>
  <si>
    <t>IRP</t>
  </si>
  <si>
    <t>Year 2</t>
  </si>
  <si>
    <t>Alloc Corr</t>
  </si>
  <si>
    <t>Top</t>
  </si>
  <si>
    <t>Five Ben</t>
  </si>
  <si>
    <t>Cust IRP</t>
  </si>
  <si>
    <t>Ben</t>
  </si>
  <si>
    <t>Remove</t>
  </si>
  <si>
    <t>Net Inc</t>
  </si>
  <si>
    <t>P&amp;L impact?</t>
  </si>
  <si>
    <t>No</t>
  </si>
  <si>
    <t>Yes</t>
  </si>
  <si>
    <t>yes</t>
  </si>
  <si>
    <t>Undesig</t>
  </si>
  <si>
    <t>Undesig Alloc</t>
  </si>
  <si>
    <t>Undesig IRP</t>
  </si>
  <si>
    <t>Desig</t>
  </si>
  <si>
    <t>Desig Adj</t>
  </si>
  <si>
    <t>(annual budget)</t>
  </si>
  <si>
    <t>(annual + bb adj)</t>
  </si>
  <si>
    <t>11 Salaries</t>
  </si>
  <si>
    <t>12 Benefits</t>
  </si>
  <si>
    <t>13 Operations Exp (O/E)</t>
  </si>
  <si>
    <t>14 Cen. Mged Costs - Other</t>
  </si>
  <si>
    <t>15 University Level Financial Aid</t>
  </si>
  <si>
    <t>16 U Level Committed Resources</t>
  </si>
  <si>
    <t>17 Uncommitted Resources</t>
  </si>
  <si>
    <t>Fee Adj</t>
  </si>
  <si>
    <t>(4) Undesignated base budget as of 6/30/2023 according to Tableau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</si>
</sst>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0"/>
      <color rgb="FF000000"/>
      <name val="Times New Roman"/>
      <family val="2"/>
    </font>
    <font>
      <sz val="9"/>
      <color rgb="FF444444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97">
    <xf numFmtId="0" fontId="0" fillId="0" borderId="0" xfId="0"/>
    <xf numFmtId="37" fontId="0" fillId="0" borderId="0" xfId="0" applyNumberFormat="1" applyAlignment="1">
      <alignment horizontal="center"/>
    </xf>
    <xf numFmtId="37" fontId="0" fillId="0" borderId="0" xfId="0" applyNumberFormat="1"/>
    <xf numFmtId="37" fontId="3" fillId="0" borderId="0" xfId="0" applyNumberFormat="1" applyFont="1" applyAlignment="1">
      <alignment horizontal="right"/>
    </xf>
    <xf numFmtId="37" fontId="3" fillId="0" borderId="0" xfId="0" applyNumberFormat="1" applyFont="1"/>
    <xf numFmtId="164" fontId="3" fillId="0" borderId="0" xfId="0" quotePrefix="1" applyNumberFormat="1" applyFont="1" applyAlignment="1">
      <alignment horizontal="right" wrapText="1"/>
    </xf>
    <xf numFmtId="5" fontId="1" fillId="0" borderId="0" xfId="0" applyNumberFormat="1" applyFont="1"/>
    <xf numFmtId="37" fontId="6" fillId="0" borderId="0" xfId="0" applyNumberFormat="1" applyFont="1"/>
    <xf numFmtId="37" fontId="0" fillId="0" borderId="0" xfId="0" applyNumberFormat="1" applyAlignment="1">
      <alignment horizontal="center" wrapText="1"/>
    </xf>
    <xf numFmtId="37" fontId="2" fillId="0" borderId="0" xfId="0" applyNumberFormat="1" applyFont="1" applyAlignment="1">
      <alignment horizontal="center" wrapText="1"/>
    </xf>
    <xf numFmtId="37" fontId="7" fillId="0" borderId="0" xfId="0" quotePrefix="1" applyNumberFormat="1" applyFont="1"/>
    <xf numFmtId="164" fontId="3" fillId="0" borderId="0" xfId="0" quotePrefix="1" applyNumberFormat="1" applyFont="1" applyAlignment="1">
      <alignment wrapText="1"/>
    </xf>
    <xf numFmtId="37" fontId="2" fillId="0" borderId="0" xfId="0" applyNumberFormat="1" applyFont="1" applyAlignment="1">
      <alignment horizontal="center"/>
    </xf>
    <xf numFmtId="37" fontId="2" fillId="2" borderId="6" xfId="0" applyNumberFormat="1" applyFont="1" applyFill="1" applyBorder="1" applyAlignment="1">
      <alignment horizontal="center" wrapText="1"/>
    </xf>
    <xf numFmtId="37" fontId="0" fillId="2" borderId="0" xfId="0" applyNumberFormat="1" applyFill="1" applyAlignment="1">
      <alignment horizontal="center"/>
    </xf>
    <xf numFmtId="37" fontId="2" fillId="2" borderId="0" xfId="0" applyNumberFormat="1" applyFont="1" applyFill="1" applyAlignment="1">
      <alignment horizontal="center" wrapText="1"/>
    </xf>
    <xf numFmtId="165" fontId="0" fillId="2" borderId="0" xfId="1" applyNumberFormat="1" applyFont="1" applyFill="1" applyAlignment="1">
      <alignment horizontal="right" indent="1"/>
    </xf>
    <xf numFmtId="165" fontId="0" fillId="0" borderId="0" xfId="1" applyNumberFormat="1" applyFont="1" applyFill="1" applyAlignment="1">
      <alignment horizontal="right" indent="1"/>
    </xf>
    <xf numFmtId="165" fontId="2" fillId="2" borderId="2" xfId="1" applyNumberFormat="1" applyFont="1" applyFill="1" applyBorder="1" applyAlignment="1">
      <alignment horizontal="right" indent="1"/>
    </xf>
    <xf numFmtId="165" fontId="2" fillId="0" borderId="2" xfId="1" applyNumberFormat="1" applyFont="1" applyFill="1" applyBorder="1" applyAlignment="1">
      <alignment horizontal="right" indent="1"/>
    </xf>
    <xf numFmtId="165" fontId="2" fillId="2" borderId="7" xfId="1" applyNumberFormat="1" applyFont="1" applyFill="1" applyBorder="1" applyAlignment="1">
      <alignment horizontal="right" indent="1"/>
    </xf>
    <xf numFmtId="165" fontId="2" fillId="2" borderId="4" xfId="1" applyNumberFormat="1" applyFont="1" applyFill="1" applyBorder="1" applyAlignment="1">
      <alignment horizontal="right" indent="1"/>
    </xf>
    <xf numFmtId="165" fontId="2" fillId="2" borderId="8" xfId="1" applyNumberFormat="1" applyFont="1" applyFill="1" applyBorder="1" applyAlignment="1">
      <alignment horizontal="right" indent="1"/>
    </xf>
    <xf numFmtId="165" fontId="0" fillId="0" borderId="0" xfId="1" applyNumberFormat="1" applyFont="1" applyFill="1"/>
    <xf numFmtId="37" fontId="2" fillId="0" borderId="2" xfId="0" applyNumberFormat="1" applyFont="1" applyBorder="1"/>
    <xf numFmtId="165" fontId="2" fillId="0" borderId="2" xfId="1" applyNumberFormat="1" applyFont="1" applyFill="1" applyBorder="1"/>
    <xf numFmtId="5" fontId="2" fillId="0" borderId="4" xfId="0" applyNumberFormat="1" applyFont="1" applyBorder="1"/>
    <xf numFmtId="165" fontId="2" fillId="0" borderId="4" xfId="1" applyNumberFormat="1" applyFont="1" applyFill="1" applyBorder="1"/>
    <xf numFmtId="165" fontId="2" fillId="0" borderId="4" xfId="1" applyNumberFormat="1" applyFont="1" applyFill="1" applyBorder="1" applyAlignment="1">
      <alignment horizontal="right" indent="1"/>
    </xf>
    <xf numFmtId="5" fontId="2" fillId="0" borderId="0" xfId="0" applyNumberFormat="1" applyFont="1"/>
    <xf numFmtId="5" fontId="2" fillId="0" borderId="0" xfId="0" applyNumberFormat="1" applyFont="1" applyAlignment="1">
      <alignment horizontal="right" indent="1"/>
    </xf>
    <xf numFmtId="165" fontId="5" fillId="0" borderId="0" xfId="1" applyNumberFormat="1" applyFont="1" applyFill="1" applyBorder="1" applyAlignment="1">
      <alignment horizontal="right" indent="1"/>
    </xf>
    <xf numFmtId="165" fontId="0" fillId="0" borderId="0" xfId="1" applyNumberFormat="1" applyFont="1" applyFill="1" applyBorder="1" applyAlignment="1">
      <alignment horizontal="right" indent="1"/>
    </xf>
    <xf numFmtId="165" fontId="5" fillId="2" borderId="0" xfId="1" applyNumberFormat="1" applyFont="1" applyFill="1" applyAlignment="1">
      <alignment horizontal="right" indent="1"/>
    </xf>
    <xf numFmtId="37" fontId="0" fillId="2" borderId="11" xfId="0" applyNumberFormat="1" applyFill="1" applyBorder="1" applyAlignment="1">
      <alignment horizontal="center"/>
    </xf>
    <xf numFmtId="165" fontId="0" fillId="2" borderId="6" xfId="1" applyNumberFormat="1" applyFont="1" applyFill="1" applyBorder="1" applyAlignment="1">
      <alignment horizontal="right" indent="1"/>
    </xf>
    <xf numFmtId="37" fontId="0" fillId="0" borderId="12" xfId="0" applyNumberFormat="1" applyBorder="1" applyAlignment="1">
      <alignment horizontal="center" wrapText="1"/>
    </xf>
    <xf numFmtId="37" fontId="4" fillId="0" borderId="12" xfId="0" applyNumberFormat="1" applyFont="1" applyBorder="1" applyAlignment="1">
      <alignment horizontal="center" vertical="center"/>
    </xf>
    <xf numFmtId="37" fontId="4" fillId="2" borderId="13" xfId="0" applyNumberFormat="1" applyFont="1" applyFill="1" applyBorder="1" applyAlignment="1">
      <alignment horizontal="center" vertical="center"/>
    </xf>
    <xf numFmtId="37" fontId="4" fillId="2" borderId="12" xfId="0" applyNumberFormat="1" applyFont="1" applyFill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wrapText="1"/>
    </xf>
    <xf numFmtId="14" fontId="2" fillId="3" borderId="12" xfId="0" applyNumberFormat="1" applyFont="1" applyFill="1" applyBorder="1" applyAlignment="1">
      <alignment horizontal="center" wrapText="1"/>
    </xf>
    <xf numFmtId="165" fontId="0" fillId="3" borderId="0" xfId="1" applyNumberFormat="1" applyFont="1" applyFill="1" applyAlignment="1">
      <alignment horizontal="right" indent="1"/>
    </xf>
    <xf numFmtId="165" fontId="2" fillId="3" borderId="2" xfId="1" applyNumberFormat="1" applyFont="1" applyFill="1" applyBorder="1" applyAlignment="1">
      <alignment horizontal="right" indent="1"/>
    </xf>
    <xf numFmtId="37" fontId="0" fillId="3" borderId="0" xfId="0" applyNumberFormat="1" applyFill="1" applyAlignment="1">
      <alignment horizontal="center"/>
    </xf>
    <xf numFmtId="165" fontId="2" fillId="3" borderId="4" xfId="1" applyNumberFormat="1" applyFont="1" applyFill="1" applyBorder="1" applyAlignment="1">
      <alignment horizontal="right" indent="1"/>
    </xf>
    <xf numFmtId="14" fontId="9" fillId="0" borderId="0" xfId="0" applyNumberFormat="1" applyFont="1" applyAlignment="1">
      <alignment horizontal="left"/>
    </xf>
    <xf numFmtId="14" fontId="0" fillId="0" borderId="12" xfId="0" applyNumberFormat="1" applyBorder="1" applyAlignment="1">
      <alignment horizontal="center" wrapText="1"/>
    </xf>
    <xf numFmtId="37" fontId="0" fillId="0" borderId="0" xfId="0" applyNumberFormat="1" applyAlignment="1">
      <alignment horizontal="right"/>
    </xf>
    <xf numFmtId="37" fontId="0" fillId="3" borderId="1" xfId="0" applyNumberFormat="1" applyFill="1" applyBorder="1" applyAlignment="1">
      <alignment horizontal="center"/>
    </xf>
    <xf numFmtId="37" fontId="2" fillId="3" borderId="1" xfId="0" applyNumberFormat="1" applyFont="1" applyFill="1" applyBorder="1" applyAlignment="1">
      <alignment horizontal="center" wrapText="1"/>
    </xf>
    <xf numFmtId="37" fontId="4" fillId="3" borderId="14" xfId="0" applyNumberFormat="1" applyFont="1" applyFill="1" applyBorder="1" applyAlignment="1">
      <alignment horizontal="center" vertical="center"/>
    </xf>
    <xf numFmtId="165" fontId="0" fillId="3" borderId="1" xfId="1" applyNumberFormat="1" applyFont="1" applyFill="1" applyBorder="1" applyAlignment="1">
      <alignment horizontal="right" indent="1"/>
    </xf>
    <xf numFmtId="165" fontId="2" fillId="3" borderId="3" xfId="1" applyNumberFormat="1" applyFont="1" applyFill="1" applyBorder="1" applyAlignment="1">
      <alignment horizontal="right" indent="1"/>
    </xf>
    <xf numFmtId="165" fontId="2" fillId="3" borderId="5" xfId="1" applyNumberFormat="1" applyFont="1" applyFill="1" applyBorder="1" applyAlignment="1">
      <alignment horizontal="right" indent="1"/>
    </xf>
    <xf numFmtId="37" fontId="0" fillId="0" borderId="16" xfId="0" applyNumberFormat="1" applyBorder="1" applyAlignment="1">
      <alignment horizontal="center"/>
    </xf>
    <xf numFmtId="37" fontId="2" fillId="0" borderId="15" xfId="0" applyNumberFormat="1" applyFont="1" applyBorder="1" applyAlignment="1">
      <alignment horizontal="center"/>
    </xf>
    <xf numFmtId="37" fontId="0" fillId="2" borderId="17" xfId="0" applyNumberFormat="1" applyFill="1" applyBorder="1" applyAlignment="1">
      <alignment horizontal="center"/>
    </xf>
    <xf numFmtId="37" fontId="2" fillId="2" borderId="1" xfId="0" applyNumberFormat="1" applyFont="1" applyFill="1" applyBorder="1" applyAlignment="1">
      <alignment horizontal="center" wrapText="1"/>
    </xf>
    <xf numFmtId="165" fontId="0" fillId="3" borderId="6" xfId="1" applyNumberFormat="1" applyFont="1" applyFill="1" applyBorder="1" applyAlignment="1">
      <alignment horizontal="right" indent="1"/>
    </xf>
    <xf numFmtId="165" fontId="2" fillId="3" borderId="7" xfId="1" applyNumberFormat="1" applyFont="1" applyFill="1" applyBorder="1" applyAlignment="1">
      <alignment horizontal="right" indent="1"/>
    </xf>
    <xf numFmtId="165" fontId="2" fillId="3" borderId="8" xfId="1" applyNumberFormat="1" applyFont="1" applyFill="1" applyBorder="1" applyAlignment="1">
      <alignment horizontal="right" indent="1"/>
    </xf>
    <xf numFmtId="14" fontId="0" fillId="3" borderId="14" xfId="0" applyNumberFormat="1" applyFill="1" applyBorder="1" applyAlignment="1">
      <alignment horizontal="center" wrapText="1"/>
    </xf>
    <xf numFmtId="14" fontId="0" fillId="3" borderId="13" xfId="0" applyNumberFormat="1" applyFill="1" applyBorder="1" applyAlignment="1">
      <alignment horizontal="center" wrapText="1"/>
    </xf>
    <xf numFmtId="9" fontId="0" fillId="0" borderId="0" xfId="2" applyFont="1" applyAlignment="1">
      <alignment horizontal="center"/>
    </xf>
    <xf numFmtId="37" fontId="2" fillId="0" borderId="18" xfId="0" applyNumberFormat="1" applyFont="1" applyBorder="1" applyAlignment="1">
      <alignment horizontal="center"/>
    </xf>
    <xf numFmtId="37" fontId="0" fillId="0" borderId="19" xfId="0" applyNumberFormat="1" applyBorder="1" applyAlignment="1">
      <alignment horizontal="center"/>
    </xf>
    <xf numFmtId="37" fontId="10" fillId="0" borderId="0" xfId="0" applyNumberFormat="1" applyFont="1" applyAlignment="1">
      <alignment horizontal="center"/>
    </xf>
    <xf numFmtId="165" fontId="0" fillId="0" borderId="0" xfId="0" applyNumberFormat="1"/>
    <xf numFmtId="37" fontId="0" fillId="0" borderId="21" xfId="0" applyNumberFormat="1" applyBorder="1" applyAlignment="1">
      <alignment horizontal="center"/>
    </xf>
    <xf numFmtId="37" fontId="0" fillId="0" borderId="22" xfId="0" applyNumberFormat="1" applyBorder="1" applyAlignment="1">
      <alignment horizontal="center"/>
    </xf>
    <xf numFmtId="37" fontId="0" fillId="0" borderId="23" xfId="0" applyNumberFormat="1" applyBorder="1" applyAlignment="1">
      <alignment horizontal="right"/>
    </xf>
    <xf numFmtId="37" fontId="0" fillId="0" borderId="21" xfId="0" applyNumberFormat="1" applyBorder="1"/>
    <xf numFmtId="37" fontId="0" fillId="0" borderId="22" xfId="0" applyNumberFormat="1" applyBorder="1"/>
    <xf numFmtId="37" fontId="0" fillId="0" borderId="20" xfId="0" applyNumberFormat="1" applyBorder="1" applyAlignment="1">
      <alignment horizontal="center"/>
    </xf>
    <xf numFmtId="0" fontId="11" fillId="0" borderId="0" xfId="0" applyFont="1" applyAlignment="1">
      <alignment horizontal="left" indent="1"/>
    </xf>
    <xf numFmtId="3" fontId="11" fillId="0" borderId="0" xfId="0" applyNumberFormat="1" applyFont="1"/>
    <xf numFmtId="0" fontId="11" fillId="0" borderId="0" xfId="0" applyFont="1"/>
    <xf numFmtId="0" fontId="0" fillId="0" borderId="0" xfId="0" applyAlignment="1">
      <alignment horizontal="center"/>
    </xf>
    <xf numFmtId="165" fontId="0" fillId="0" borderId="0" xfId="3" applyNumberFormat="1" applyFont="1"/>
    <xf numFmtId="165" fontId="0" fillId="0" borderId="0" xfId="1" applyNumberFormat="1" applyFont="1"/>
    <xf numFmtId="37" fontId="0" fillId="0" borderId="20" xfId="0" applyNumberFormat="1" applyBorder="1"/>
    <xf numFmtId="37" fontId="0" fillId="0" borderId="24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0" fontId="12" fillId="0" borderId="0" xfId="0" applyFont="1"/>
    <xf numFmtId="5" fontId="2" fillId="4" borderId="4" xfId="0" applyNumberFormat="1" applyFont="1" applyFill="1" applyBorder="1"/>
    <xf numFmtId="0" fontId="2" fillId="0" borderId="0" xfId="0" applyFont="1"/>
    <xf numFmtId="37" fontId="0" fillId="0" borderId="23" xfId="0" applyNumberFormat="1" applyBorder="1"/>
    <xf numFmtId="9" fontId="0" fillId="0" borderId="0" xfId="2" applyFont="1"/>
    <xf numFmtId="37" fontId="2" fillId="0" borderId="9" xfId="0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10" xfId="0" applyNumberFormat="1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0" fillId="0" borderId="9" xfId="0" applyNumberFormat="1" applyBorder="1" applyAlignment="1">
      <alignment horizontal="center"/>
    </xf>
    <xf numFmtId="37" fontId="0" fillId="0" borderId="2" xfId="0" applyNumberFormat="1" applyBorder="1" applyAlignment="1">
      <alignment horizontal="center"/>
    </xf>
    <xf numFmtId="37" fontId="0" fillId="0" borderId="10" xfId="0" applyNumberFormat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502598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6367FF-001C-BBAB-13CE-3EF07C8677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7993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464498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BCFE4A-0A94-418A-9479-1C2DED0752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7993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310828</xdr:colOff>
      <xdr:row>2</xdr:row>
      <xdr:rowOff>31750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4E3EEF-16A2-48D4-AC6E-BEB0043652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7993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319718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0C5BB4-0C6F-43BC-B600-1C86F4ED3F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7993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319718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6C1F2D-8307-40AB-8277-93ABDBE67F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7993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319718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B531D6-7B11-440A-A8EB-45CDA67E5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7993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ABE94-D1AC-44BD-8969-722134690292}">
  <sheetPr>
    <tabColor rgb="FFFFC000"/>
    <pageSetUpPr fitToPage="1"/>
  </sheetPr>
  <dimension ref="A1:N35"/>
  <sheetViews>
    <sheetView zoomScaleNormal="100" workbookViewId="0">
      <selection activeCell="A35" sqref="A35"/>
    </sheetView>
  </sheetViews>
  <sheetFormatPr defaultColWidth="8.85546875" defaultRowHeight="15" x14ac:dyDescent="0.25"/>
  <cols>
    <col min="1" max="1" width="23.5703125" style="2" customWidth="1"/>
    <col min="2" max="2" width="13.85546875" style="1" customWidth="1"/>
    <col min="3" max="3" width="12.42578125" style="1" customWidth="1"/>
    <col min="4" max="4" width="12.28515625" style="1" customWidth="1"/>
    <col min="5" max="5" width="13.85546875" style="1" bestFit="1" customWidth="1"/>
    <col min="6" max="6" width="13.5703125" style="1" customWidth="1"/>
    <col min="7" max="7" width="13.85546875" style="1" customWidth="1"/>
    <col min="8" max="8" width="13.5703125" style="1" customWidth="1"/>
    <col min="9" max="9" width="14.5703125" style="1" customWidth="1"/>
    <col min="10" max="10" width="14.7109375" style="1" customWidth="1"/>
    <col min="11" max="12" width="15.7109375" style="1" customWidth="1"/>
    <col min="13" max="13" width="3.28515625" style="2" customWidth="1"/>
    <col min="14" max="14" width="11" style="2" bestFit="1" customWidth="1"/>
    <col min="15" max="15" width="22.85546875" style="2" bestFit="1" customWidth="1"/>
    <col min="16" max="17" width="8.85546875" style="2"/>
    <col min="18" max="18" width="31.85546875" style="2" customWidth="1"/>
    <col min="19" max="16384" width="8.85546875" style="2"/>
  </cols>
  <sheetData>
    <row r="1" spans="1:14" ht="25.9" customHeight="1" x14ac:dyDescent="0.4">
      <c r="A1" s="4"/>
      <c r="L1" s="67"/>
      <c r="N1" s="3"/>
    </row>
    <row r="2" spans="1:14" ht="25.9" customHeight="1" x14ac:dyDescent="0.3">
      <c r="A2" s="4"/>
      <c r="L2" s="12"/>
      <c r="M2" s="11"/>
      <c r="N2" s="11"/>
    </row>
    <row r="3" spans="1:14" ht="18.75" customHeight="1" x14ac:dyDescent="0.3">
      <c r="A3" s="4" t="s">
        <v>0</v>
      </c>
      <c r="L3" s="12" t="s">
        <v>1</v>
      </c>
      <c r="M3" s="11"/>
      <c r="N3" s="11"/>
    </row>
    <row r="4" spans="1:14" ht="20.100000000000001" customHeight="1" x14ac:dyDescent="0.3">
      <c r="A4" s="46">
        <v>45170</v>
      </c>
      <c r="M4" s="5"/>
      <c r="N4" s="5"/>
    </row>
    <row r="5" spans="1:14" x14ac:dyDescent="0.25">
      <c r="B5" s="89" t="s">
        <v>2</v>
      </c>
      <c r="C5" s="90"/>
      <c r="D5" s="90"/>
      <c r="E5" s="90"/>
      <c r="F5" s="90"/>
      <c r="G5" s="90"/>
      <c r="H5" s="90"/>
      <c r="I5" s="90"/>
      <c r="J5" s="65" t="s">
        <v>3</v>
      </c>
      <c r="K5" s="56" t="s">
        <v>4</v>
      </c>
    </row>
    <row r="6" spans="1:14" x14ac:dyDescent="0.25">
      <c r="B6" s="89" t="s">
        <v>5</v>
      </c>
      <c r="C6" s="90"/>
      <c r="D6" s="90"/>
      <c r="E6" s="91"/>
      <c r="F6" s="89" t="s">
        <v>6</v>
      </c>
      <c r="G6" s="90"/>
      <c r="H6" s="90"/>
      <c r="I6" s="90"/>
      <c r="J6" s="66"/>
      <c r="K6" s="55"/>
    </row>
    <row r="7" spans="1:14" x14ac:dyDescent="0.25">
      <c r="B7" s="1">
        <v>-1</v>
      </c>
      <c r="C7" s="1">
        <v>-2</v>
      </c>
      <c r="D7" s="1">
        <v>-3</v>
      </c>
      <c r="E7" s="14">
        <v>-4</v>
      </c>
      <c r="F7" s="1">
        <v>-5</v>
      </c>
      <c r="G7" s="1">
        <v>-6</v>
      </c>
      <c r="H7" s="1">
        <v>-7</v>
      </c>
      <c r="I7" s="14">
        <v>-8</v>
      </c>
      <c r="J7" s="57">
        <v>-9</v>
      </c>
      <c r="K7" s="34">
        <v>-10</v>
      </c>
      <c r="L7" s="14"/>
    </row>
    <row r="8" spans="1:14" ht="52.15" customHeight="1" thickBot="1" x14ac:dyDescent="0.3">
      <c r="A8" s="8"/>
      <c r="B8" s="9" t="s">
        <v>7</v>
      </c>
      <c r="C8" s="9" t="s">
        <v>8</v>
      </c>
      <c r="D8" s="9" t="s">
        <v>9</v>
      </c>
      <c r="E8" s="15" t="s">
        <v>10</v>
      </c>
      <c r="F8" s="9" t="s">
        <v>11</v>
      </c>
      <c r="G8" s="9" t="s">
        <v>12</v>
      </c>
      <c r="H8" s="9" t="s">
        <v>13</v>
      </c>
      <c r="I8" s="15" t="s">
        <v>14</v>
      </c>
      <c r="J8" s="58" t="s">
        <v>15</v>
      </c>
      <c r="K8" s="13" t="s">
        <v>16</v>
      </c>
      <c r="L8" s="15" t="s">
        <v>17</v>
      </c>
    </row>
    <row r="9" spans="1:14" ht="19.149999999999999" customHeight="1" x14ac:dyDescent="0.25">
      <c r="A9" s="36"/>
      <c r="B9" s="36"/>
      <c r="C9" s="36"/>
      <c r="D9" s="47" t="s">
        <v>18</v>
      </c>
      <c r="E9" s="41"/>
      <c r="F9" s="40"/>
      <c r="G9" s="47" t="s">
        <v>18</v>
      </c>
      <c r="H9" s="47" t="s">
        <v>18</v>
      </c>
      <c r="I9" s="41"/>
      <c r="J9" s="62" t="s">
        <v>19</v>
      </c>
      <c r="K9" s="63" t="s">
        <v>20</v>
      </c>
      <c r="L9" s="41"/>
    </row>
    <row r="10" spans="1:14" ht="17.45" customHeight="1" x14ac:dyDescent="0.25">
      <c r="A10" s="2" t="s">
        <v>21</v>
      </c>
      <c r="B10" s="17">
        <v>5673643</v>
      </c>
      <c r="C10" s="17">
        <v>-4569</v>
      </c>
      <c r="D10" s="17">
        <f>+'Attachment B - IRP'!F9</f>
        <v>33311</v>
      </c>
      <c r="E10" s="42">
        <f>SUM(B10:D10)</f>
        <v>5702385</v>
      </c>
      <c r="F10" s="17">
        <f>4224081-30000</f>
        <v>4194081</v>
      </c>
      <c r="G10" s="17">
        <f>+'Attachment B - IRP'!G9</f>
        <v>-5759</v>
      </c>
      <c r="H10" s="17">
        <f>+'Attachment B - IRP'!J9</f>
        <v>3656</v>
      </c>
      <c r="I10" s="42">
        <f>SUM(E10:H10)</f>
        <v>9894363</v>
      </c>
      <c r="J10" s="52">
        <f>+'Attachment C - Desig'!G9</f>
        <v>101311</v>
      </c>
      <c r="K10" s="59">
        <f>+'Attachment D - Fees'!I9</f>
        <v>0</v>
      </c>
      <c r="L10" s="42">
        <f>SUM(I10:K10)</f>
        <v>9995674</v>
      </c>
      <c r="M10" s="6"/>
      <c r="N10" s="68"/>
    </row>
    <row r="11" spans="1:14" ht="17.45" customHeight="1" x14ac:dyDescent="0.25">
      <c r="A11" s="2" t="s">
        <v>22</v>
      </c>
      <c r="B11" s="17">
        <f>119538613+3</f>
        <v>119538616</v>
      </c>
      <c r="C11" s="17"/>
      <c r="D11" s="17">
        <f>+'Attachment B - IRP'!F10</f>
        <v>270306</v>
      </c>
      <c r="E11" s="42">
        <f t="shared" ref="E11:E15" si="0">SUM(B11:D11)</f>
        <v>119808922</v>
      </c>
      <c r="F11" s="17"/>
      <c r="G11" s="17">
        <f>+'Attachment B - IRP'!G10</f>
        <v>-7367</v>
      </c>
      <c r="H11" s="17">
        <f>+'Attachment B - IRP'!J10</f>
        <v>251089</v>
      </c>
      <c r="I11" s="42">
        <f t="shared" ref="I11:I15" si="1">SUM(E11:H11)</f>
        <v>120052644</v>
      </c>
      <c r="J11" s="52">
        <f>+'Attachment C - Desig'!G10</f>
        <v>15434102</v>
      </c>
      <c r="K11" s="59">
        <f>+'Attachment D - Fees'!I10</f>
        <v>4743694</v>
      </c>
      <c r="L11" s="42">
        <f t="shared" ref="L11:L18" si="2">SUM(I11:K11)</f>
        <v>140230440</v>
      </c>
      <c r="N11" s="68"/>
    </row>
    <row r="12" spans="1:14" ht="17.45" customHeight="1" x14ac:dyDescent="0.25">
      <c r="A12" s="2" t="s">
        <v>23</v>
      </c>
      <c r="B12" s="17">
        <f>24735326+43575+33330+46884</f>
        <v>24859115</v>
      </c>
      <c r="C12" s="17">
        <f>30000+6594+75796</f>
        <v>112390</v>
      </c>
      <c r="D12" s="17">
        <f>+'Attachment B - IRP'!F11</f>
        <v>167504</v>
      </c>
      <c r="E12" s="42">
        <f t="shared" si="0"/>
        <v>25139009</v>
      </c>
      <c r="F12" s="17">
        <f>992868-30000-75796-4224081+30000+1812</f>
        <v>-3305197</v>
      </c>
      <c r="G12" s="17">
        <f>+'Attachment B - IRP'!G11</f>
        <v>0</v>
      </c>
      <c r="H12" s="17">
        <f>+'Attachment B - IRP'!J11</f>
        <v>26675</v>
      </c>
      <c r="I12" s="42">
        <f t="shared" si="1"/>
        <v>21860487</v>
      </c>
      <c r="J12" s="52">
        <f>+'Attachment C - Desig'!G11</f>
        <v>0</v>
      </c>
      <c r="K12" s="59">
        <f>+'Attachment D - Fees'!I11</f>
        <v>2500</v>
      </c>
      <c r="L12" s="42">
        <f t="shared" si="2"/>
        <v>21862987</v>
      </c>
      <c r="N12" s="68"/>
    </row>
    <row r="13" spans="1:14" ht="17.45" customHeight="1" x14ac:dyDescent="0.25">
      <c r="A13" s="2" t="s">
        <v>24</v>
      </c>
      <c r="B13" s="17">
        <v>12754039</v>
      </c>
      <c r="C13" s="17"/>
      <c r="D13" s="17">
        <f>+'Attachment B - IRP'!F12</f>
        <v>71771</v>
      </c>
      <c r="E13" s="42">
        <f t="shared" si="0"/>
        <v>12825810</v>
      </c>
      <c r="F13" s="17"/>
      <c r="G13" s="17">
        <f>+'Attachment B - IRP'!G12</f>
        <v>0</v>
      </c>
      <c r="H13" s="17">
        <f>+'Attachment B - IRP'!J12</f>
        <v>75584</v>
      </c>
      <c r="I13" s="42">
        <f t="shared" si="1"/>
        <v>12901394</v>
      </c>
      <c r="J13" s="52">
        <f>+'Attachment C - Desig'!G12</f>
        <v>112304</v>
      </c>
      <c r="K13" s="59">
        <f>+'Attachment D - Fees'!I12</f>
        <v>2766005</v>
      </c>
      <c r="L13" s="42">
        <f t="shared" si="2"/>
        <v>15779703</v>
      </c>
      <c r="N13" s="68"/>
    </row>
    <row r="14" spans="1:14" ht="17.45" customHeight="1" x14ac:dyDescent="0.25">
      <c r="A14" s="2" t="s">
        <v>25</v>
      </c>
      <c r="B14" s="17">
        <v>7912862</v>
      </c>
      <c r="C14" s="17"/>
      <c r="D14" s="17">
        <f>+'Attachment B - IRP'!F13</f>
        <v>116874</v>
      </c>
      <c r="E14" s="42">
        <f t="shared" si="0"/>
        <v>8029736</v>
      </c>
      <c r="F14" s="17"/>
      <c r="G14" s="17">
        <f>+'Attachment B - IRP'!G13</f>
        <v>-32964</v>
      </c>
      <c r="H14" s="17">
        <f>+'Attachment B - IRP'!J13</f>
        <v>47159</v>
      </c>
      <c r="I14" s="42">
        <f t="shared" si="1"/>
        <v>8043931</v>
      </c>
      <c r="J14" s="52">
        <f>+'Attachment C - Desig'!G13</f>
        <v>4458714</v>
      </c>
      <c r="K14" s="59">
        <f>+'Attachment D - Fees'!I13</f>
        <v>11361446</v>
      </c>
      <c r="L14" s="42">
        <f t="shared" si="2"/>
        <v>23864091</v>
      </c>
      <c r="N14" s="68"/>
    </row>
    <row r="15" spans="1:14" ht="17.45" customHeight="1" x14ac:dyDescent="0.25">
      <c r="A15" s="2" t="s">
        <v>26</v>
      </c>
      <c r="B15" s="17">
        <v>4359633</v>
      </c>
      <c r="C15" s="17"/>
      <c r="D15" s="17">
        <f>+'Attachment B - IRP'!F14</f>
        <v>28445</v>
      </c>
      <c r="E15" s="42">
        <f t="shared" si="0"/>
        <v>4388078</v>
      </c>
      <c r="F15" s="17"/>
      <c r="G15" s="17">
        <f>+'Attachment B - IRP'!G14</f>
        <v>-15437</v>
      </c>
      <c r="H15" s="17">
        <f>+'Attachment B - IRP'!J14</f>
        <v>26092</v>
      </c>
      <c r="I15" s="42">
        <f t="shared" si="1"/>
        <v>4398733</v>
      </c>
      <c r="J15" s="52">
        <f>+'Attachment C - Desig'!G14</f>
        <v>0</v>
      </c>
      <c r="K15" s="59">
        <f>+'Attachment D - Fees'!I14</f>
        <v>300000</v>
      </c>
      <c r="L15" s="42">
        <f t="shared" si="2"/>
        <v>4698733</v>
      </c>
      <c r="N15" s="68"/>
    </row>
    <row r="16" spans="1:14" ht="17.45" customHeight="1" x14ac:dyDescent="0.25">
      <c r="A16" s="24" t="s">
        <v>27</v>
      </c>
      <c r="B16" s="19">
        <f t="shared" ref="B16:J16" si="3">SUM(B10:B15)</f>
        <v>175097908</v>
      </c>
      <c r="C16" s="19">
        <f t="shared" si="3"/>
        <v>107821</v>
      </c>
      <c r="D16" s="19">
        <f t="shared" si="3"/>
        <v>688211</v>
      </c>
      <c r="E16" s="43">
        <f t="shared" si="3"/>
        <v>175893940</v>
      </c>
      <c r="F16" s="19">
        <f t="shared" si="3"/>
        <v>888884</v>
      </c>
      <c r="G16" s="19">
        <f t="shared" si="3"/>
        <v>-61527</v>
      </c>
      <c r="H16" s="19">
        <f t="shared" si="3"/>
        <v>430255</v>
      </c>
      <c r="I16" s="43">
        <f t="shared" si="3"/>
        <v>177151552</v>
      </c>
      <c r="J16" s="53">
        <f t="shared" si="3"/>
        <v>20106431</v>
      </c>
      <c r="K16" s="60">
        <f>SUM(K10:K15)</f>
        <v>19173645</v>
      </c>
      <c r="L16" s="43">
        <f>SUM(L10:L15)</f>
        <v>216431628</v>
      </c>
    </row>
    <row r="17" spans="1:14" ht="17.45" customHeight="1" x14ac:dyDescent="0.25">
      <c r="A17" s="2" t="s">
        <v>28</v>
      </c>
      <c r="E17" s="44"/>
      <c r="I17" s="44"/>
      <c r="J17" s="52">
        <f>+'Attachment C - Desig'!G16</f>
        <v>38847000</v>
      </c>
      <c r="K17" s="59">
        <f>+'Attachment D - Fees'!I16</f>
        <v>330000</v>
      </c>
      <c r="L17" s="42">
        <f t="shared" si="2"/>
        <v>39177000</v>
      </c>
      <c r="N17" s="7"/>
    </row>
    <row r="18" spans="1:14" ht="17.45" customHeight="1" x14ac:dyDescent="0.25">
      <c r="A18" s="2" t="s">
        <v>29</v>
      </c>
      <c r="B18" s="17">
        <v>109755864</v>
      </c>
      <c r="C18" s="17">
        <f>-229585+4569</f>
        <v>-225016</v>
      </c>
      <c r="D18" s="17">
        <v>-688211</v>
      </c>
      <c r="E18" s="42">
        <f>SUM(B18:D18)</f>
        <v>108842637</v>
      </c>
      <c r="F18" s="17">
        <f>-992868+593547+18665-593547-18665+105796-790313-1812</f>
        <v>-1679197</v>
      </c>
      <c r="G18" s="17">
        <f>+'Attachment B - IRP'!G17</f>
        <v>61527</v>
      </c>
      <c r="H18" s="17">
        <f>+'Attachment B - IRP'!J17</f>
        <v>240943</v>
      </c>
      <c r="I18" s="42">
        <f t="shared" ref="I18" si="4">SUM(E18:H18)</f>
        <v>107465910</v>
      </c>
      <c r="J18" s="52">
        <f>+'Attachment C - Desig'!G17</f>
        <v>7979497</v>
      </c>
      <c r="K18" s="59">
        <f>+'Attachment D - Fees'!I17</f>
        <v>4630778</v>
      </c>
      <c r="L18" s="42">
        <f t="shared" si="2"/>
        <v>120076185</v>
      </c>
      <c r="N18" s="68"/>
    </row>
    <row r="19" spans="1:14" ht="18" customHeight="1" thickBot="1" x14ac:dyDescent="0.3">
      <c r="A19" s="26" t="s">
        <v>30</v>
      </c>
      <c r="B19" s="28">
        <f>SUM(B16:B18)</f>
        <v>284853772</v>
      </c>
      <c r="C19" s="28">
        <f t="shared" ref="C19:K19" si="5">SUM(C16:C18)</f>
        <v>-117195</v>
      </c>
      <c r="D19" s="28">
        <f t="shared" si="5"/>
        <v>0</v>
      </c>
      <c r="E19" s="45">
        <f t="shared" si="5"/>
        <v>284736577</v>
      </c>
      <c r="F19" s="28">
        <f t="shared" si="5"/>
        <v>-790313</v>
      </c>
      <c r="G19" s="28">
        <f t="shared" ref="G19:I19" si="6">SUM(G16:G18)</f>
        <v>0</v>
      </c>
      <c r="H19" s="28">
        <f t="shared" si="6"/>
        <v>671198</v>
      </c>
      <c r="I19" s="45">
        <f t="shared" si="6"/>
        <v>284617462</v>
      </c>
      <c r="J19" s="54">
        <f t="shared" si="5"/>
        <v>66932928</v>
      </c>
      <c r="K19" s="61">
        <f t="shared" si="5"/>
        <v>24134423</v>
      </c>
      <c r="L19" s="45">
        <f>SUM(L16:L18)</f>
        <v>375684813</v>
      </c>
    </row>
    <row r="20" spans="1:14" x14ac:dyDescent="0.25">
      <c r="A20" s="10"/>
    </row>
    <row r="21" spans="1:14" x14ac:dyDescent="0.25">
      <c r="A21" s="2" t="s">
        <v>31</v>
      </c>
    </row>
    <row r="22" spans="1:14" x14ac:dyDescent="0.25">
      <c r="A22" s="2" t="s">
        <v>32</v>
      </c>
    </row>
    <row r="23" spans="1:14" x14ac:dyDescent="0.25">
      <c r="A23" s="2" t="s">
        <v>33</v>
      </c>
    </row>
    <row r="24" spans="1:14" x14ac:dyDescent="0.25">
      <c r="A24" s="2" t="s">
        <v>216</v>
      </c>
    </row>
    <row r="25" spans="1:14" x14ac:dyDescent="0.25">
      <c r="A25" s="2" t="s">
        <v>34</v>
      </c>
    </row>
    <row r="26" spans="1:14" ht="13.9" customHeight="1" x14ac:dyDescent="0.25">
      <c r="A26" s="2" t="s">
        <v>35</v>
      </c>
    </row>
    <row r="27" spans="1:14" ht="13.9" customHeight="1" x14ac:dyDescent="0.25">
      <c r="A27" s="2" t="s">
        <v>36</v>
      </c>
    </row>
    <row r="28" spans="1:14" x14ac:dyDescent="0.25">
      <c r="A28" s="2" t="s">
        <v>37</v>
      </c>
    </row>
    <row r="29" spans="1:14" x14ac:dyDescent="0.25">
      <c r="A29" s="2" t="s">
        <v>38</v>
      </c>
    </row>
    <row r="30" spans="1:14" x14ac:dyDescent="0.25">
      <c r="A30" s="2" t="s">
        <v>39</v>
      </c>
    </row>
    <row r="31" spans="1:14" x14ac:dyDescent="0.25">
      <c r="A31" s="2" t="s">
        <v>40</v>
      </c>
    </row>
    <row r="32" spans="1:14" x14ac:dyDescent="0.25">
      <c r="A32" s="2" t="s">
        <v>41</v>
      </c>
    </row>
    <row r="33" spans="1:1" x14ac:dyDescent="0.25">
      <c r="A33" s="2" t="s">
        <v>42</v>
      </c>
    </row>
    <row r="34" spans="1:1" x14ac:dyDescent="0.25">
      <c r="A34" s="2" t="s">
        <v>43</v>
      </c>
    </row>
    <row r="35" spans="1:1" x14ac:dyDescent="0.25">
      <c r="A35" s="2" t="s">
        <v>44</v>
      </c>
    </row>
  </sheetData>
  <mergeCells count="3">
    <mergeCell ref="B6:E6"/>
    <mergeCell ref="B5:I5"/>
    <mergeCell ref="F6:I6"/>
  </mergeCells>
  <printOptions horizontalCentered="1"/>
  <pageMargins left="0.75" right="0.75" top="0.5" bottom="0.5" header="0.3" footer="0.3"/>
  <pageSetup paperSize="5" scale="86" orientation="landscape" r:id="rId1"/>
  <headerFooter>
    <oddFooter>&amp;L&amp;8&amp;D&amp;R&amp;8&amp;F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EE1D2-AA62-4781-A2C2-2B3A5A7A33B0}">
  <sheetPr>
    <tabColor rgb="FFFFC000"/>
    <pageSetUpPr fitToPage="1"/>
  </sheetPr>
  <dimension ref="A1:L26"/>
  <sheetViews>
    <sheetView zoomScaleNormal="100" workbookViewId="0">
      <selection activeCell="H19" sqref="H19"/>
    </sheetView>
  </sheetViews>
  <sheetFormatPr defaultColWidth="8.85546875" defaultRowHeight="15" x14ac:dyDescent="0.25"/>
  <cols>
    <col min="1" max="1" width="24.140625" style="2" customWidth="1"/>
    <col min="2" max="8" width="11" style="1" customWidth="1"/>
    <col min="9" max="9" width="11.7109375" style="1" customWidth="1"/>
    <col min="10" max="10" width="11" style="1" customWidth="1"/>
    <col min="11" max="11" width="11" style="2" customWidth="1"/>
    <col min="12" max="12" width="11" style="2" bestFit="1" customWidth="1"/>
    <col min="13" max="13" width="24.140625" style="2" customWidth="1"/>
    <col min="14" max="25" width="14" style="2" customWidth="1"/>
    <col min="26" max="16384" width="8.85546875" style="2"/>
  </cols>
  <sheetData>
    <row r="1" spans="1:12" ht="25.9" customHeight="1" x14ac:dyDescent="0.4">
      <c r="A1" s="4"/>
      <c r="K1" s="67"/>
      <c r="L1" s="3"/>
    </row>
    <row r="2" spans="1:12" ht="25.9" customHeight="1" x14ac:dyDescent="0.3">
      <c r="A2" s="4"/>
      <c r="G2" s="12"/>
      <c r="H2" s="12"/>
      <c r="I2" s="12"/>
      <c r="J2" s="12"/>
      <c r="K2" s="12" t="str">
        <f>+'Attachment A - Base'!L3</f>
        <v>BPA #23-01</v>
      </c>
      <c r="L2" s="11"/>
    </row>
    <row r="3" spans="1:12" ht="18.75" customHeight="1" x14ac:dyDescent="0.3">
      <c r="A3" s="4" t="s">
        <v>45</v>
      </c>
      <c r="G3" s="12"/>
      <c r="H3" s="12"/>
      <c r="I3" s="12"/>
      <c r="J3" s="12"/>
      <c r="K3" s="11"/>
      <c r="L3" s="11"/>
    </row>
    <row r="4" spans="1:12" ht="20.100000000000001" customHeight="1" x14ac:dyDescent="0.3">
      <c r="A4" s="46">
        <f>+'Attachment A - Base'!A4</f>
        <v>45170</v>
      </c>
      <c r="K4" s="5"/>
      <c r="L4" s="5"/>
    </row>
    <row r="5" spans="1:12" ht="18.75" x14ac:dyDescent="0.3">
      <c r="B5" s="89" t="s">
        <v>5</v>
      </c>
      <c r="C5" s="90"/>
      <c r="D5" s="90"/>
      <c r="E5" s="90"/>
      <c r="F5" s="90"/>
      <c r="G5" s="92" t="s">
        <v>6</v>
      </c>
      <c r="H5" s="90"/>
      <c r="I5" s="90"/>
      <c r="J5" s="90"/>
      <c r="K5" s="91"/>
      <c r="L5" s="5"/>
    </row>
    <row r="6" spans="1:12" ht="18.75" x14ac:dyDescent="0.3">
      <c r="B6" s="1">
        <v>-1</v>
      </c>
      <c r="F6" s="34">
        <v>-2</v>
      </c>
      <c r="G6" s="14">
        <v>-3</v>
      </c>
      <c r="H6" s="1">
        <v>-4</v>
      </c>
      <c r="I6" s="1">
        <v>-5</v>
      </c>
      <c r="J6" s="14">
        <v>-6</v>
      </c>
      <c r="K6" s="1">
        <v>-7</v>
      </c>
      <c r="L6" s="5"/>
    </row>
    <row r="7" spans="1:12" ht="61.5" thickBot="1" x14ac:dyDescent="0.35">
      <c r="A7" s="8"/>
      <c r="B7" s="9" t="s">
        <v>46</v>
      </c>
      <c r="C7" s="9" t="s">
        <v>47</v>
      </c>
      <c r="D7" s="9" t="s">
        <v>48</v>
      </c>
      <c r="E7" s="9" t="s">
        <v>49</v>
      </c>
      <c r="F7" s="13" t="s">
        <v>50</v>
      </c>
      <c r="G7" s="15" t="s">
        <v>51</v>
      </c>
      <c r="H7" s="9" t="s">
        <v>52</v>
      </c>
      <c r="I7" s="9" t="s">
        <v>46</v>
      </c>
      <c r="J7" s="15" t="s">
        <v>53</v>
      </c>
      <c r="K7" s="9" t="s">
        <v>54</v>
      </c>
      <c r="L7" s="5"/>
    </row>
    <row r="8" spans="1:12" ht="19.149999999999999" customHeight="1" x14ac:dyDescent="0.3">
      <c r="A8" s="36"/>
      <c r="B8" s="36"/>
      <c r="C8" s="37"/>
      <c r="D8" s="37"/>
      <c r="E8" s="37"/>
      <c r="F8" s="38"/>
      <c r="G8" s="39"/>
      <c r="H8" s="37"/>
      <c r="I8" s="37"/>
      <c r="J8" s="39"/>
      <c r="K8" s="37"/>
      <c r="L8" s="5"/>
    </row>
    <row r="9" spans="1:12" ht="19.149999999999999" customHeight="1" x14ac:dyDescent="0.3">
      <c r="A9" s="2" t="s">
        <v>21</v>
      </c>
      <c r="B9" s="23">
        <v>27769</v>
      </c>
      <c r="C9" s="17">
        <v>0</v>
      </c>
      <c r="D9" s="17">
        <v>13944</v>
      </c>
      <c r="E9" s="17">
        <v>19367</v>
      </c>
      <c r="F9" s="35">
        <f t="shared" ref="F9:F17" si="0">SUM(C9:E9)</f>
        <v>33311</v>
      </c>
      <c r="G9" s="16">
        <f>+B9-F9-217</f>
        <v>-5759</v>
      </c>
      <c r="H9" s="17">
        <f t="shared" ref="H9:H14" si="1">SUM(B9:B9)-F9-G9</f>
        <v>217</v>
      </c>
      <c r="I9" s="32">
        <v>59284</v>
      </c>
      <c r="J9" s="16">
        <v>3656</v>
      </c>
      <c r="K9" s="17">
        <f t="shared" ref="K9:K14" si="2">+H9+I9-J9</f>
        <v>55845</v>
      </c>
      <c r="L9" s="5"/>
    </row>
    <row r="10" spans="1:12" ht="19.149999999999999" customHeight="1" x14ac:dyDescent="0.3">
      <c r="A10" s="2" t="s">
        <v>22</v>
      </c>
      <c r="B10" s="23">
        <v>262939</v>
      </c>
      <c r="C10" s="17">
        <v>216780</v>
      </c>
      <c r="D10" s="17">
        <v>19376</v>
      </c>
      <c r="E10" s="17">
        <v>34150</v>
      </c>
      <c r="F10" s="35">
        <f t="shared" si="0"/>
        <v>270306</v>
      </c>
      <c r="G10" s="16">
        <f>+B10-F10</f>
        <v>-7367</v>
      </c>
      <c r="H10" s="17">
        <f t="shared" si="1"/>
        <v>0</v>
      </c>
      <c r="I10" s="32">
        <v>292430</v>
      </c>
      <c r="J10" s="16">
        <v>251089</v>
      </c>
      <c r="K10" s="17">
        <f t="shared" si="2"/>
        <v>41341</v>
      </c>
      <c r="L10" s="5"/>
    </row>
    <row r="11" spans="1:12" ht="19.149999999999999" customHeight="1" x14ac:dyDescent="0.3">
      <c r="A11" s="2" t="s">
        <v>23</v>
      </c>
      <c r="B11" s="23">
        <f>171260-3756</f>
        <v>167504</v>
      </c>
      <c r="C11" s="17">
        <v>59076</v>
      </c>
      <c r="D11" s="17">
        <v>31392</v>
      </c>
      <c r="E11" s="17">
        <v>77036</v>
      </c>
      <c r="F11" s="35">
        <f t="shared" si="0"/>
        <v>167504</v>
      </c>
      <c r="G11" s="16">
        <v>0</v>
      </c>
      <c r="H11" s="17">
        <f t="shared" si="1"/>
        <v>0</v>
      </c>
      <c r="I11" s="32">
        <v>168214</v>
      </c>
      <c r="J11" s="16">
        <v>26675</v>
      </c>
      <c r="K11" s="17">
        <f t="shared" si="2"/>
        <v>141539</v>
      </c>
      <c r="L11" s="5"/>
    </row>
    <row r="12" spans="1:12" ht="19.149999999999999" customHeight="1" x14ac:dyDescent="0.3">
      <c r="A12" s="2" t="s">
        <v>24</v>
      </c>
      <c r="B12" s="23">
        <v>71771</v>
      </c>
      <c r="C12" s="17">
        <v>53868</v>
      </c>
      <c r="D12" s="17">
        <f>18780-877</f>
        <v>17903</v>
      </c>
      <c r="E12" s="17">
        <v>0</v>
      </c>
      <c r="F12" s="35">
        <f t="shared" si="0"/>
        <v>71771</v>
      </c>
      <c r="G12" s="16">
        <f>+B12-F12</f>
        <v>0</v>
      </c>
      <c r="H12" s="17">
        <f t="shared" si="1"/>
        <v>0</v>
      </c>
      <c r="I12" s="32">
        <v>77613</v>
      </c>
      <c r="J12" s="16">
        <v>75584</v>
      </c>
      <c r="K12" s="17">
        <f t="shared" si="2"/>
        <v>2029</v>
      </c>
      <c r="L12" s="5"/>
    </row>
    <row r="13" spans="1:12" ht="19.149999999999999" customHeight="1" x14ac:dyDescent="0.3">
      <c r="A13" s="2" t="s">
        <v>25</v>
      </c>
      <c r="B13" s="23">
        <v>83910</v>
      </c>
      <c r="C13" s="17">
        <v>0</v>
      </c>
      <c r="D13" s="17">
        <v>0</v>
      </c>
      <c r="E13" s="17">
        <v>116874</v>
      </c>
      <c r="F13" s="35">
        <f t="shared" si="0"/>
        <v>116874</v>
      </c>
      <c r="G13" s="16">
        <f>+B13-F13</f>
        <v>-32964</v>
      </c>
      <c r="H13" s="17">
        <f t="shared" si="1"/>
        <v>0</v>
      </c>
      <c r="I13" s="32">
        <v>74869</v>
      </c>
      <c r="J13" s="16">
        <v>47159</v>
      </c>
      <c r="K13" s="17">
        <f t="shared" si="2"/>
        <v>27710</v>
      </c>
      <c r="L13" s="5"/>
    </row>
    <row r="14" spans="1:12" ht="19.149999999999999" customHeight="1" x14ac:dyDescent="0.3">
      <c r="A14" s="2" t="s">
        <v>26</v>
      </c>
      <c r="B14" s="23">
        <v>24351</v>
      </c>
      <c r="C14" s="17">
        <v>0</v>
      </c>
      <c r="D14" s="17">
        <v>13008</v>
      </c>
      <c r="E14" s="17">
        <v>15437</v>
      </c>
      <c r="F14" s="35">
        <f t="shared" si="0"/>
        <v>28445</v>
      </c>
      <c r="G14" s="16">
        <f>+B14-F14-11343</f>
        <v>-15437</v>
      </c>
      <c r="H14" s="17">
        <f t="shared" si="1"/>
        <v>11343</v>
      </c>
      <c r="I14" s="32">
        <v>27369</v>
      </c>
      <c r="J14" s="16">
        <v>26092</v>
      </c>
      <c r="K14" s="17">
        <f t="shared" si="2"/>
        <v>12620</v>
      </c>
      <c r="L14" s="5"/>
    </row>
    <row r="15" spans="1:12" ht="19.149999999999999" customHeight="1" x14ac:dyDescent="0.3">
      <c r="A15" s="24" t="s">
        <v>27</v>
      </c>
      <c r="B15" s="25">
        <f>SUM(B9:B14)</f>
        <v>638244</v>
      </c>
      <c r="C15" s="19">
        <f t="shared" ref="C15:K15" si="3">SUM(C9:C14)</f>
        <v>329724</v>
      </c>
      <c r="D15" s="19">
        <f t="shared" si="3"/>
        <v>95623</v>
      </c>
      <c r="E15" s="19">
        <f t="shared" si="3"/>
        <v>262864</v>
      </c>
      <c r="F15" s="20">
        <f t="shared" si="3"/>
        <v>688211</v>
      </c>
      <c r="G15" s="18">
        <f>SUM(G9:G14)</f>
        <v>-61527</v>
      </c>
      <c r="H15" s="19">
        <f t="shared" si="3"/>
        <v>11560</v>
      </c>
      <c r="I15" s="19">
        <f t="shared" si="3"/>
        <v>699779</v>
      </c>
      <c r="J15" s="18">
        <f t="shared" si="3"/>
        <v>430255</v>
      </c>
      <c r="K15" s="19">
        <f t="shared" si="3"/>
        <v>281084</v>
      </c>
      <c r="L15" s="5"/>
    </row>
    <row r="16" spans="1:12" ht="19.149999999999999" customHeight="1" x14ac:dyDescent="0.3">
      <c r="A16" s="2" t="s">
        <v>55</v>
      </c>
      <c r="B16" s="23">
        <f>3756</f>
        <v>3756</v>
      </c>
      <c r="C16" s="17">
        <v>3756</v>
      </c>
      <c r="D16" s="17">
        <v>0</v>
      </c>
      <c r="E16" s="17"/>
      <c r="F16" s="35">
        <f t="shared" si="0"/>
        <v>3756</v>
      </c>
      <c r="G16" s="16"/>
      <c r="H16" s="17">
        <f>SUM(B16:B16)-F16-G16</f>
        <v>0</v>
      </c>
      <c r="I16" s="31"/>
      <c r="J16" s="33"/>
      <c r="K16" s="17"/>
      <c r="L16" s="5"/>
    </row>
    <row r="17" spans="1:12" ht="19.149999999999999" customHeight="1" x14ac:dyDescent="0.3">
      <c r="A17" s="2" t="s">
        <v>29</v>
      </c>
      <c r="B17" s="23">
        <v>282662</v>
      </c>
      <c r="C17" s="17">
        <f>86950+25126+20726</f>
        <v>132802</v>
      </c>
      <c r="D17" s="17">
        <f>5033+7766+11910+7176+4695</f>
        <v>36580</v>
      </c>
      <c r="E17" s="17">
        <v>28362</v>
      </c>
      <c r="F17" s="35">
        <f t="shared" si="0"/>
        <v>197744</v>
      </c>
      <c r="G17" s="16">
        <f>61527</f>
        <v>61527</v>
      </c>
      <c r="H17" s="17">
        <f>SUM(B17:B17)-F17-G17</f>
        <v>23391</v>
      </c>
      <c r="I17" s="31">
        <v>391877</v>
      </c>
      <c r="J17" s="33">
        <f>ROUND(J15*0.56,0)</f>
        <v>240943</v>
      </c>
      <c r="K17" s="17">
        <f>+H17+I17-J17</f>
        <v>174325</v>
      </c>
      <c r="L17" s="5"/>
    </row>
    <row r="18" spans="1:12" ht="15" customHeight="1" thickBot="1" x14ac:dyDescent="0.3">
      <c r="A18" s="26" t="s">
        <v>30</v>
      </c>
      <c r="B18" s="27">
        <f t="shared" ref="B18:K18" si="4">SUM(B15:B17)</f>
        <v>924662</v>
      </c>
      <c r="C18" s="28">
        <f t="shared" si="4"/>
        <v>466282</v>
      </c>
      <c r="D18" s="28">
        <f t="shared" si="4"/>
        <v>132203</v>
      </c>
      <c r="E18" s="28">
        <f t="shared" si="4"/>
        <v>291226</v>
      </c>
      <c r="F18" s="22">
        <f t="shared" si="4"/>
        <v>889711</v>
      </c>
      <c r="G18" s="21">
        <f t="shared" si="4"/>
        <v>0</v>
      </c>
      <c r="H18" s="28">
        <f t="shared" si="4"/>
        <v>34951</v>
      </c>
      <c r="I18" s="28">
        <f t="shared" si="4"/>
        <v>1091656</v>
      </c>
      <c r="J18" s="21">
        <f t="shared" si="4"/>
        <v>671198</v>
      </c>
      <c r="K18" s="28">
        <f t="shared" si="4"/>
        <v>455409</v>
      </c>
    </row>
    <row r="19" spans="1:12" ht="15" customHeight="1" x14ac:dyDescent="0.25">
      <c r="A19" s="29"/>
      <c r="B19" s="29"/>
      <c r="C19" s="30"/>
      <c r="D19" s="30"/>
      <c r="E19" s="30"/>
      <c r="F19" s="30"/>
      <c r="G19" s="30"/>
      <c r="H19" s="30"/>
      <c r="I19" s="30"/>
      <c r="J19" s="30"/>
      <c r="K19" s="30"/>
    </row>
    <row r="20" spans="1:12" x14ac:dyDescent="0.25">
      <c r="A20" s="10" t="s">
        <v>56</v>
      </c>
    </row>
    <row r="21" spans="1:12" x14ac:dyDescent="0.25">
      <c r="A21" s="2" t="s">
        <v>57</v>
      </c>
    </row>
    <row r="22" spans="1:12" x14ac:dyDescent="0.25">
      <c r="A22" s="2" t="s">
        <v>58</v>
      </c>
      <c r="J22" s="64"/>
    </row>
    <row r="23" spans="1:12" x14ac:dyDescent="0.25">
      <c r="A23" s="2" t="s">
        <v>59</v>
      </c>
    </row>
    <row r="24" spans="1:12" x14ac:dyDescent="0.25">
      <c r="A24" s="2" t="s">
        <v>60</v>
      </c>
    </row>
    <row r="25" spans="1:12" x14ac:dyDescent="0.25">
      <c r="A25" s="2" t="s">
        <v>61</v>
      </c>
    </row>
    <row r="26" spans="1:12" x14ac:dyDescent="0.25">
      <c r="A26" s="2" t="s">
        <v>62</v>
      </c>
    </row>
  </sheetData>
  <mergeCells count="2">
    <mergeCell ref="B5:F5"/>
    <mergeCell ref="G5:K5"/>
  </mergeCells>
  <printOptions horizontalCentered="1"/>
  <pageMargins left="0.75" right="0.75" top="0.5" bottom="0.5" header="0.3" footer="0.3"/>
  <pageSetup scale="90" orientation="landscape" r:id="rId1"/>
  <headerFooter>
    <oddFooter>&amp;L&amp;8&amp;D&amp;R&amp;8&amp;F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C1031-7461-4808-B700-75BC6644F0DD}">
  <sheetPr>
    <tabColor rgb="FFFFC000"/>
    <pageSetUpPr fitToPage="1"/>
  </sheetPr>
  <dimension ref="A1:H42"/>
  <sheetViews>
    <sheetView zoomScaleNormal="100" workbookViewId="0">
      <selection activeCell="E20" sqref="E20"/>
    </sheetView>
  </sheetViews>
  <sheetFormatPr defaultColWidth="8.85546875" defaultRowHeight="15" x14ac:dyDescent="0.25"/>
  <cols>
    <col min="1" max="1" width="26.28515625" style="2" customWidth="1"/>
    <col min="2" max="2" width="14" style="1" bestFit="1" customWidth="1"/>
    <col min="3" max="5" width="14.28515625" style="1" customWidth="1"/>
    <col min="6" max="6" width="14.5703125" style="1" customWidth="1"/>
    <col min="7" max="7" width="15" style="1" customWidth="1"/>
    <col min="8" max="19" width="14" style="2" customWidth="1"/>
    <col min="20" max="16384" width="8.85546875" style="2"/>
  </cols>
  <sheetData>
    <row r="1" spans="1:7" ht="25.9" customHeight="1" x14ac:dyDescent="0.4">
      <c r="A1" s="4"/>
      <c r="G1" s="67"/>
    </row>
    <row r="2" spans="1:7" ht="25.9" customHeight="1" x14ac:dyDescent="0.3">
      <c r="A2" s="4"/>
      <c r="G2" s="12" t="str">
        <f>+'Attachment A - Base'!L3</f>
        <v>BPA #23-01</v>
      </c>
    </row>
    <row r="3" spans="1:7" ht="18.75" customHeight="1" x14ac:dyDescent="0.3">
      <c r="A3" s="4" t="s">
        <v>63</v>
      </c>
    </row>
    <row r="4" spans="1:7" ht="20.100000000000001" customHeight="1" x14ac:dyDescent="0.25">
      <c r="A4" s="46">
        <f>+'Attachment A - Base'!A4</f>
        <v>45170</v>
      </c>
    </row>
    <row r="5" spans="1:7" x14ac:dyDescent="0.25">
      <c r="B5" s="93"/>
      <c r="C5" s="93"/>
      <c r="D5" s="93"/>
      <c r="E5" s="93"/>
      <c r="F5" s="93"/>
      <c r="G5" s="93"/>
    </row>
    <row r="6" spans="1:7" x14ac:dyDescent="0.25">
      <c r="B6" s="1">
        <v>-1</v>
      </c>
      <c r="C6" s="1">
        <v>-2</v>
      </c>
      <c r="D6" s="1">
        <v>-3</v>
      </c>
      <c r="E6" s="1">
        <v>-4</v>
      </c>
      <c r="F6" s="1">
        <v>-5</v>
      </c>
      <c r="G6" s="49">
        <v>-6</v>
      </c>
    </row>
    <row r="7" spans="1:7" ht="45.75" thickBot="1" x14ac:dyDescent="0.3">
      <c r="A7" s="8"/>
      <c r="B7" s="9" t="s">
        <v>64</v>
      </c>
      <c r="C7" s="9" t="s">
        <v>65</v>
      </c>
      <c r="D7" s="9" t="s">
        <v>66</v>
      </c>
      <c r="E7" s="9" t="s">
        <v>67</v>
      </c>
      <c r="F7" s="9" t="s">
        <v>68</v>
      </c>
      <c r="G7" s="50" t="s">
        <v>69</v>
      </c>
    </row>
    <row r="8" spans="1:7" ht="19.149999999999999" customHeight="1" x14ac:dyDescent="0.25">
      <c r="A8" s="36"/>
      <c r="B8" s="40"/>
      <c r="C8" s="40"/>
      <c r="D8" s="37"/>
      <c r="E8" s="37"/>
      <c r="F8" s="37"/>
      <c r="G8" s="51"/>
    </row>
    <row r="9" spans="1:7" ht="19.149999999999999" customHeight="1" x14ac:dyDescent="0.25">
      <c r="A9" s="2" t="s">
        <v>21</v>
      </c>
      <c r="B9" s="17">
        <v>101311</v>
      </c>
      <c r="C9" s="17"/>
      <c r="D9" s="17"/>
      <c r="E9" s="17"/>
      <c r="F9" s="17"/>
      <c r="G9" s="52">
        <f t="shared" ref="G9:G14" si="0">SUM(B9:F9)</f>
        <v>101311</v>
      </c>
    </row>
    <row r="10" spans="1:7" ht="19.149999999999999" customHeight="1" x14ac:dyDescent="0.25">
      <c r="A10" s="2" t="s">
        <v>22</v>
      </c>
      <c r="B10" s="17">
        <v>12031736</v>
      </c>
      <c r="C10" s="17">
        <v>2213214</v>
      </c>
      <c r="D10" s="17">
        <v>1189152</v>
      </c>
      <c r="E10" s="17"/>
      <c r="F10" s="17"/>
      <c r="G10" s="52">
        <f t="shared" si="0"/>
        <v>15434102</v>
      </c>
    </row>
    <row r="11" spans="1:7" ht="19.149999999999999" customHeight="1" x14ac:dyDescent="0.25">
      <c r="A11" s="2" t="s">
        <v>23</v>
      </c>
      <c r="B11" s="17">
        <v>0</v>
      </c>
      <c r="C11" s="17"/>
      <c r="D11" s="17"/>
      <c r="E11" s="17"/>
      <c r="F11" s="17"/>
      <c r="G11" s="52">
        <f t="shared" si="0"/>
        <v>0</v>
      </c>
    </row>
    <row r="12" spans="1:7" ht="19.149999999999999" customHeight="1" x14ac:dyDescent="0.25">
      <c r="A12" s="2" t="s">
        <v>24</v>
      </c>
      <c r="B12" s="17">
        <v>112304</v>
      </c>
      <c r="C12" s="17"/>
      <c r="D12" s="17"/>
      <c r="E12" s="17"/>
      <c r="F12" s="17"/>
      <c r="G12" s="52">
        <f t="shared" si="0"/>
        <v>112304</v>
      </c>
    </row>
    <row r="13" spans="1:7" ht="19.149999999999999" customHeight="1" x14ac:dyDescent="0.25">
      <c r="A13" s="2" t="s">
        <v>25</v>
      </c>
      <c r="B13" s="17">
        <v>3535714</v>
      </c>
      <c r="C13" s="17"/>
      <c r="D13" s="17">
        <v>370000</v>
      </c>
      <c r="E13" s="17">
        <v>553000</v>
      </c>
      <c r="F13" s="17"/>
      <c r="G13" s="52">
        <f t="shared" si="0"/>
        <v>4458714</v>
      </c>
    </row>
    <row r="14" spans="1:7" ht="19.149999999999999" customHeight="1" x14ac:dyDescent="0.25">
      <c r="A14" s="2" t="s">
        <v>26</v>
      </c>
      <c r="B14" s="17">
        <v>0</v>
      </c>
      <c r="C14" s="17"/>
      <c r="D14" s="17"/>
      <c r="E14" s="17"/>
      <c r="F14" s="17"/>
      <c r="G14" s="52">
        <f t="shared" si="0"/>
        <v>0</v>
      </c>
    </row>
    <row r="15" spans="1:7" ht="19.149999999999999" customHeight="1" x14ac:dyDescent="0.25">
      <c r="A15" s="24" t="s">
        <v>27</v>
      </c>
      <c r="B15" s="19">
        <f t="shared" ref="B15:E15" si="1">SUM(B9:B14)</f>
        <v>15781065</v>
      </c>
      <c r="C15" s="19">
        <f t="shared" si="1"/>
        <v>2213214</v>
      </c>
      <c r="D15" s="19">
        <f t="shared" si="1"/>
        <v>1559152</v>
      </c>
      <c r="E15" s="19">
        <f t="shared" si="1"/>
        <v>553000</v>
      </c>
      <c r="F15" s="19">
        <f t="shared" ref="F15:G15" si="2">SUM(F9:F14)</f>
        <v>0</v>
      </c>
      <c r="G15" s="53">
        <f t="shared" si="2"/>
        <v>20106431</v>
      </c>
    </row>
    <row r="16" spans="1:7" ht="19.149999999999999" customHeight="1" x14ac:dyDescent="0.25">
      <c r="A16" s="2" t="s">
        <v>28</v>
      </c>
      <c r="B16" s="48">
        <v>39309000</v>
      </c>
      <c r="D16" s="17"/>
      <c r="E16" s="17"/>
      <c r="F16" s="17">
        <v>-462000</v>
      </c>
      <c r="G16" s="52">
        <f>SUM(B16:F16)</f>
        <v>38847000</v>
      </c>
    </row>
    <row r="17" spans="1:7" ht="19.149999999999999" customHeight="1" x14ac:dyDescent="0.25">
      <c r="A17" s="2" t="s">
        <v>29</v>
      </c>
      <c r="B17" s="17">
        <f>48893863-39309000</f>
        <v>9584863</v>
      </c>
      <c r="C17" s="17">
        <v>-2213214</v>
      </c>
      <c r="D17" s="17">
        <f>530588+77260</f>
        <v>607848</v>
      </c>
      <c r="E17" s="17"/>
      <c r="F17" s="17"/>
      <c r="G17" s="52">
        <f>SUM(B17:F17)</f>
        <v>7979497</v>
      </c>
    </row>
    <row r="18" spans="1:7" ht="15" customHeight="1" thickBot="1" x14ac:dyDescent="0.3">
      <c r="A18" s="26" t="s">
        <v>30</v>
      </c>
      <c r="B18" s="28">
        <f t="shared" ref="B18:E18" si="3">SUM(B15:B17)</f>
        <v>64674928</v>
      </c>
      <c r="C18" s="28">
        <f t="shared" si="3"/>
        <v>0</v>
      </c>
      <c r="D18" s="28">
        <f t="shared" si="3"/>
        <v>2167000</v>
      </c>
      <c r="E18" s="28">
        <f t="shared" si="3"/>
        <v>553000</v>
      </c>
      <c r="F18" s="28">
        <f t="shared" ref="F18:G18" si="4">SUM(F15:F17)</f>
        <v>-462000</v>
      </c>
      <c r="G18" s="54">
        <f t="shared" si="4"/>
        <v>66932928</v>
      </c>
    </row>
    <row r="19" spans="1:7" ht="15" customHeight="1" x14ac:dyDescent="0.25">
      <c r="A19" s="29"/>
      <c r="B19" s="29"/>
      <c r="C19" s="30"/>
      <c r="D19" s="30"/>
      <c r="E19" s="30"/>
      <c r="F19" s="30"/>
      <c r="G19" s="30"/>
    </row>
    <row r="20" spans="1:7" x14ac:dyDescent="0.25">
      <c r="A20" s="2" t="s">
        <v>70</v>
      </c>
    </row>
    <row r="21" spans="1:7" x14ac:dyDescent="0.25">
      <c r="A21" s="2" t="s">
        <v>71</v>
      </c>
    </row>
    <row r="22" spans="1:7" x14ac:dyDescent="0.25">
      <c r="A22" s="2" t="s">
        <v>72</v>
      </c>
    </row>
    <row r="23" spans="1:7" x14ac:dyDescent="0.25">
      <c r="A23" s="2" t="s">
        <v>73</v>
      </c>
    </row>
    <row r="24" spans="1:7" x14ac:dyDescent="0.25">
      <c r="A24" s="2" t="s">
        <v>74</v>
      </c>
    </row>
    <row r="25" spans="1:7" x14ac:dyDescent="0.25">
      <c r="A25" s="2" t="s">
        <v>75</v>
      </c>
    </row>
    <row r="26" spans="1:7" x14ac:dyDescent="0.25">
      <c r="A26" s="2" t="s">
        <v>76</v>
      </c>
    </row>
    <row r="28" spans="1:7" x14ac:dyDescent="0.25">
      <c r="A28" s="72" t="s">
        <v>77</v>
      </c>
      <c r="B28" s="69" t="s">
        <v>78</v>
      </c>
      <c r="C28" s="69" t="s">
        <v>79</v>
      </c>
      <c r="D28" s="69" t="s">
        <v>24</v>
      </c>
      <c r="E28" s="69" t="s">
        <v>80</v>
      </c>
      <c r="F28" s="69" t="s">
        <v>81</v>
      </c>
      <c r="G28" s="69" t="s">
        <v>82</v>
      </c>
    </row>
    <row r="29" spans="1:7" x14ac:dyDescent="0.25">
      <c r="A29" s="73"/>
      <c r="B29" s="70" t="s">
        <v>83</v>
      </c>
      <c r="C29" s="70" t="s">
        <v>84</v>
      </c>
      <c r="D29" s="70"/>
      <c r="E29" s="70" t="s">
        <v>84</v>
      </c>
      <c r="F29" s="70"/>
      <c r="G29" s="70"/>
    </row>
    <row r="30" spans="1:7" x14ac:dyDescent="0.25">
      <c r="A30" s="68" t="s">
        <v>85</v>
      </c>
      <c r="B30" s="48"/>
      <c r="C30" s="48">
        <v>614090</v>
      </c>
      <c r="D30" s="48"/>
      <c r="E30" s="48"/>
      <c r="F30" s="48"/>
      <c r="G30" s="48">
        <f t="shared" ref="G30:G39" si="5">SUM(B30:F30)</f>
        <v>614090</v>
      </c>
    </row>
    <row r="31" spans="1:7" x14ac:dyDescent="0.25">
      <c r="A31" s="68" t="s">
        <v>86</v>
      </c>
      <c r="B31" s="48"/>
      <c r="C31" s="48">
        <v>166360</v>
      </c>
      <c r="D31" s="48"/>
      <c r="E31" s="48"/>
      <c r="F31" s="48"/>
      <c r="G31" s="48">
        <f t="shared" si="5"/>
        <v>166360</v>
      </c>
    </row>
    <row r="32" spans="1:7" x14ac:dyDescent="0.25">
      <c r="A32" s="68" t="s">
        <v>87</v>
      </c>
      <c r="B32" s="48"/>
      <c r="C32" s="48">
        <v>286128</v>
      </c>
      <c r="D32" s="48"/>
      <c r="E32" s="48"/>
      <c r="F32" s="48"/>
      <c r="G32" s="48">
        <f t="shared" si="5"/>
        <v>286128</v>
      </c>
    </row>
    <row r="33" spans="1:8" x14ac:dyDescent="0.25">
      <c r="A33" s="68" t="s">
        <v>88</v>
      </c>
      <c r="B33" s="48">
        <v>101311</v>
      </c>
      <c r="C33" s="48"/>
      <c r="D33" s="48"/>
      <c r="E33" s="48">
        <v>138204</v>
      </c>
      <c r="F33" s="48"/>
      <c r="G33" s="48">
        <f t="shared" si="5"/>
        <v>239515</v>
      </c>
    </row>
    <row r="34" spans="1:8" x14ac:dyDescent="0.25">
      <c r="A34" s="68" t="s">
        <v>89</v>
      </c>
      <c r="B34" s="48"/>
      <c r="C34" s="48"/>
      <c r="D34" s="48"/>
      <c r="E34" s="48">
        <v>800000</v>
      </c>
      <c r="F34" s="48"/>
      <c r="G34" s="48">
        <f t="shared" si="5"/>
        <v>800000</v>
      </c>
    </row>
    <row r="35" spans="1:8" x14ac:dyDescent="0.25">
      <c r="A35" s="68" t="s">
        <v>90</v>
      </c>
      <c r="B35" s="48"/>
      <c r="C35" s="48">
        <f>5956193+2213214</f>
        <v>8169407</v>
      </c>
      <c r="D35" s="48"/>
      <c r="E35" s="48"/>
      <c r="F35" s="48"/>
      <c r="G35" s="48">
        <f t="shared" si="5"/>
        <v>8169407</v>
      </c>
      <c r="H35" s="88">
        <f>+G35/G42</f>
        <v>0.29087189143260639</v>
      </c>
    </row>
    <row r="36" spans="1:8" x14ac:dyDescent="0.25">
      <c r="A36" s="68" t="s">
        <v>91</v>
      </c>
      <c r="B36" s="48"/>
      <c r="C36" s="48">
        <f>14367524-8169407</f>
        <v>6198117</v>
      </c>
      <c r="D36" s="48">
        <v>112304</v>
      </c>
      <c r="E36" s="48">
        <f>1844510+370000+85000</f>
        <v>2299510</v>
      </c>
      <c r="F36" s="48"/>
      <c r="G36" s="48">
        <f t="shared" ref="G36" si="6">SUM(B36:F36)</f>
        <v>8609931</v>
      </c>
      <c r="H36" s="88">
        <f>+G36/G42</f>
        <v>0.30655675682142319</v>
      </c>
    </row>
    <row r="37" spans="1:8" x14ac:dyDescent="0.25">
      <c r="A37" s="68" t="s">
        <v>92</v>
      </c>
      <c r="B37" s="48"/>
      <c r="C37" s="48"/>
      <c r="D37" s="48"/>
      <c r="E37" s="48"/>
      <c r="F37" s="48">
        <f>39309000-462000</f>
        <v>38847000</v>
      </c>
      <c r="G37" s="48">
        <f t="shared" si="5"/>
        <v>38847000</v>
      </c>
    </row>
    <row r="38" spans="1:8" x14ac:dyDescent="0.25">
      <c r="A38" s="68" t="s">
        <v>67</v>
      </c>
      <c r="C38" s="48"/>
      <c r="D38" s="48"/>
      <c r="E38" s="48">
        <f>553000+668000</f>
        <v>1221000</v>
      </c>
      <c r="F38" s="48"/>
      <c r="G38" s="48">
        <f t="shared" si="5"/>
        <v>1221000</v>
      </c>
    </row>
    <row r="39" spans="1:8" x14ac:dyDescent="0.25">
      <c r="A39" s="68" t="s">
        <v>93</v>
      </c>
      <c r="C39" s="48"/>
      <c r="D39" s="48"/>
      <c r="E39" s="48"/>
      <c r="F39" s="48">
        <f>9190889+393974-2213214+607848</f>
        <v>7979497</v>
      </c>
      <c r="G39" s="48">
        <f t="shared" si="5"/>
        <v>7979497</v>
      </c>
    </row>
    <row r="40" spans="1:8" x14ac:dyDescent="0.25">
      <c r="B40" s="71">
        <f t="shared" ref="B40:G40" si="7">SUM(B30:B39)</f>
        <v>101311</v>
      </c>
      <c r="C40" s="71">
        <f t="shared" si="7"/>
        <v>15434102</v>
      </c>
      <c r="D40" s="71">
        <f t="shared" si="7"/>
        <v>112304</v>
      </c>
      <c r="E40" s="71">
        <f t="shared" si="7"/>
        <v>4458714</v>
      </c>
      <c r="F40" s="71">
        <f t="shared" si="7"/>
        <v>46826497</v>
      </c>
      <c r="G40" s="71">
        <f t="shared" si="7"/>
        <v>66932928</v>
      </c>
    </row>
    <row r="42" spans="1:8" x14ac:dyDescent="0.25">
      <c r="G42" s="1">
        <f>+G40-G37</f>
        <v>28085928</v>
      </c>
    </row>
  </sheetData>
  <mergeCells count="1">
    <mergeCell ref="B5:G5"/>
  </mergeCells>
  <printOptions horizontalCentered="1"/>
  <pageMargins left="0.75" right="0.75" top="0.5" bottom="0.5" header="0.3" footer="0.3"/>
  <pageSetup fitToHeight="0" orientation="landscape" r:id="rId1"/>
  <headerFooter>
    <oddFooter>&amp;L&amp;8&amp;D&amp;R&amp;8&amp;F</oddFooter>
  </headerFooter>
  <rowBreaks count="1" manualBreakCount="1">
    <brk id="2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23CE0-491A-4555-A68A-92696ED17985}">
  <sheetPr>
    <tabColor rgb="FFFFC000"/>
    <pageSetUpPr fitToPage="1"/>
  </sheetPr>
  <dimension ref="A1:M91"/>
  <sheetViews>
    <sheetView zoomScaleNormal="100" workbookViewId="0">
      <selection activeCell="D7" sqref="D7"/>
    </sheetView>
  </sheetViews>
  <sheetFormatPr defaultColWidth="8.85546875" defaultRowHeight="15" x14ac:dyDescent="0.25"/>
  <cols>
    <col min="1" max="1" width="26.28515625" style="2" customWidth="1"/>
    <col min="2" max="2" width="14.7109375" style="1" customWidth="1"/>
    <col min="3" max="8" width="14.28515625" style="1" customWidth="1"/>
    <col min="9" max="9" width="14.5703125" style="1" customWidth="1"/>
    <col min="10" max="21" width="14" style="2" customWidth="1"/>
    <col min="22" max="16384" width="8.85546875" style="2"/>
  </cols>
  <sheetData>
    <row r="1" spans="1:9" ht="25.9" customHeight="1" x14ac:dyDescent="0.4">
      <c r="A1" s="4"/>
      <c r="I1" s="67"/>
    </row>
    <row r="2" spans="1:9" ht="25.9" customHeight="1" x14ac:dyDescent="0.3">
      <c r="A2" s="4"/>
      <c r="I2" s="12" t="str">
        <f>+'Attachment A - Base'!L3</f>
        <v>BPA #23-01</v>
      </c>
    </row>
    <row r="3" spans="1:9" ht="18.75" customHeight="1" x14ac:dyDescent="0.3">
      <c r="A3" s="4" t="s">
        <v>94</v>
      </c>
    </row>
    <row r="4" spans="1:9" ht="20.100000000000001" customHeight="1" x14ac:dyDescent="0.25">
      <c r="A4" s="46">
        <f>+'Attachment A - Base'!A4</f>
        <v>45170</v>
      </c>
      <c r="B4" s="64"/>
    </row>
    <row r="5" spans="1:9" x14ac:dyDescent="0.25">
      <c r="B5" s="93"/>
      <c r="C5" s="93"/>
      <c r="D5" s="93"/>
      <c r="E5" s="93"/>
      <c r="F5" s="93"/>
      <c r="G5" s="93"/>
      <c r="H5" s="93"/>
      <c r="I5" s="93"/>
    </row>
    <row r="6" spans="1:9" x14ac:dyDescent="0.25">
      <c r="I6" s="49"/>
    </row>
    <row r="7" spans="1:9" ht="75.75" thickBot="1" x14ac:dyDescent="0.3">
      <c r="A7" s="8"/>
      <c r="B7" s="9" t="s">
        <v>95</v>
      </c>
      <c r="C7" s="9" t="s">
        <v>96</v>
      </c>
      <c r="D7" s="9" t="s">
        <v>97</v>
      </c>
      <c r="E7" s="9" t="s">
        <v>98</v>
      </c>
      <c r="F7" s="9" t="s">
        <v>99</v>
      </c>
      <c r="G7" s="9" t="s">
        <v>100</v>
      </c>
      <c r="H7" s="9" t="s">
        <v>101</v>
      </c>
      <c r="I7" s="50" t="s">
        <v>102</v>
      </c>
    </row>
    <row r="8" spans="1:9" ht="19.149999999999999" customHeight="1" x14ac:dyDescent="0.25">
      <c r="A8" s="36"/>
      <c r="B8" s="40"/>
      <c r="C8" s="40"/>
      <c r="D8" s="40"/>
      <c r="E8" s="40"/>
      <c r="F8" s="40"/>
      <c r="G8" s="40"/>
      <c r="H8" s="40"/>
      <c r="I8" s="51"/>
    </row>
    <row r="9" spans="1:9" ht="19.149999999999999" customHeight="1" x14ac:dyDescent="0.25">
      <c r="A9" s="2" t="s">
        <v>21</v>
      </c>
      <c r="B9" s="17"/>
      <c r="C9" s="17"/>
      <c r="D9" s="17"/>
      <c r="E9" s="17"/>
      <c r="F9" s="17"/>
      <c r="G9" s="17"/>
      <c r="H9" s="17"/>
      <c r="I9" s="52">
        <f t="shared" ref="I9:I16" si="0">SUM(B9:H9)</f>
        <v>0</v>
      </c>
    </row>
    <row r="10" spans="1:9" ht="19.149999999999999" customHeight="1" x14ac:dyDescent="0.25">
      <c r="A10" s="2" t="s">
        <v>22</v>
      </c>
      <c r="B10" s="17">
        <v>3416567</v>
      </c>
      <c r="C10" s="17"/>
      <c r="D10" s="17"/>
      <c r="E10" s="17">
        <v>336847</v>
      </c>
      <c r="F10" s="17">
        <v>90165</v>
      </c>
      <c r="G10" s="17">
        <v>300115</v>
      </c>
      <c r="H10" s="17">
        <v>600000</v>
      </c>
      <c r="I10" s="52">
        <f t="shared" si="0"/>
        <v>4743694</v>
      </c>
    </row>
    <row r="11" spans="1:9" ht="19.149999999999999" customHeight="1" x14ac:dyDescent="0.25">
      <c r="A11" s="2" t="s">
        <v>23</v>
      </c>
      <c r="B11" s="17"/>
      <c r="C11" s="17"/>
      <c r="D11" s="17"/>
      <c r="E11" s="17"/>
      <c r="F11" s="17">
        <v>2500</v>
      </c>
      <c r="G11" s="17"/>
      <c r="H11" s="17"/>
      <c r="I11" s="52">
        <f t="shared" si="0"/>
        <v>2500</v>
      </c>
    </row>
    <row r="12" spans="1:9" ht="19.149999999999999" customHeight="1" x14ac:dyDescent="0.25">
      <c r="A12" s="2" t="s">
        <v>24</v>
      </c>
      <c r="B12" s="17">
        <v>2766005</v>
      </c>
      <c r="C12" s="17"/>
      <c r="D12" s="17"/>
      <c r="E12" s="17"/>
      <c r="F12" s="17"/>
      <c r="G12" s="17"/>
      <c r="H12" s="17"/>
      <c r="I12" s="52">
        <f t="shared" si="0"/>
        <v>2766005</v>
      </c>
    </row>
    <row r="13" spans="1:9" ht="19.149999999999999" customHeight="1" x14ac:dyDescent="0.25">
      <c r="A13" s="2" t="s">
        <v>25</v>
      </c>
      <c r="B13" s="17">
        <v>3049929</v>
      </c>
      <c r="C13" s="17">
        <v>7472813</v>
      </c>
      <c r="D13" s="17">
        <v>800000</v>
      </c>
      <c r="E13" s="17"/>
      <c r="F13" s="17">
        <v>38704</v>
      </c>
      <c r="G13" s="17"/>
      <c r="H13" s="17"/>
      <c r="I13" s="52">
        <f t="shared" si="0"/>
        <v>11361446</v>
      </c>
    </row>
    <row r="14" spans="1:9" ht="19.149999999999999" customHeight="1" x14ac:dyDescent="0.25">
      <c r="A14" s="2" t="s">
        <v>26</v>
      </c>
      <c r="B14" s="17"/>
      <c r="C14" s="17"/>
      <c r="D14" s="17"/>
      <c r="E14" s="17"/>
      <c r="F14" s="17">
        <v>300000</v>
      </c>
      <c r="G14" s="17"/>
      <c r="H14" s="17"/>
      <c r="I14" s="52">
        <f t="shared" si="0"/>
        <v>300000</v>
      </c>
    </row>
    <row r="15" spans="1:9" ht="19.149999999999999" customHeight="1" x14ac:dyDescent="0.25">
      <c r="A15" s="24" t="s">
        <v>27</v>
      </c>
      <c r="B15" s="19">
        <f t="shared" ref="B15:I15" si="1">SUM(B9:B14)</f>
        <v>9232501</v>
      </c>
      <c r="C15" s="19">
        <f t="shared" si="1"/>
        <v>7472813</v>
      </c>
      <c r="D15" s="19">
        <f t="shared" si="1"/>
        <v>800000</v>
      </c>
      <c r="E15" s="19">
        <f t="shared" si="1"/>
        <v>336847</v>
      </c>
      <c r="F15" s="19">
        <f t="shared" si="1"/>
        <v>431369</v>
      </c>
      <c r="G15" s="19">
        <f t="shared" si="1"/>
        <v>300115</v>
      </c>
      <c r="H15" s="19">
        <f t="shared" si="1"/>
        <v>600000</v>
      </c>
      <c r="I15" s="53">
        <f t="shared" si="1"/>
        <v>19173645</v>
      </c>
    </row>
    <row r="16" spans="1:9" ht="19.149999999999999" customHeight="1" x14ac:dyDescent="0.25">
      <c r="A16" s="2" t="s">
        <v>28</v>
      </c>
      <c r="B16" s="48"/>
      <c r="G16" s="17">
        <v>80000</v>
      </c>
      <c r="H16" s="17">
        <v>250000</v>
      </c>
      <c r="I16" s="52">
        <f t="shared" si="0"/>
        <v>330000</v>
      </c>
    </row>
    <row r="17" spans="1:13" ht="19.149999999999999" customHeight="1" x14ac:dyDescent="0.25">
      <c r="A17" s="2" t="s">
        <v>29</v>
      </c>
      <c r="B17" s="17">
        <f>1120989+190335+801334</f>
        <v>2112658</v>
      </c>
      <c r="C17" s="17"/>
      <c r="D17" s="17">
        <v>200000</v>
      </c>
      <c r="E17" s="17"/>
      <c r="F17" s="17">
        <v>1748235</v>
      </c>
      <c r="G17" s="17">
        <f>344856+75029</f>
        <v>419885</v>
      </c>
      <c r="H17" s="17">
        <v>150000</v>
      </c>
      <c r="I17" s="52">
        <f>SUM(B17:H17)</f>
        <v>4630778</v>
      </c>
    </row>
    <row r="18" spans="1:13" ht="15" customHeight="1" thickBot="1" x14ac:dyDescent="0.3">
      <c r="A18" s="26" t="s">
        <v>30</v>
      </c>
      <c r="B18" s="28">
        <f t="shared" ref="B18:I18" si="2">SUM(B15:B17)</f>
        <v>11345159</v>
      </c>
      <c r="C18" s="28">
        <f t="shared" si="2"/>
        <v>7472813</v>
      </c>
      <c r="D18" s="28">
        <f t="shared" si="2"/>
        <v>1000000</v>
      </c>
      <c r="E18" s="28">
        <f t="shared" si="2"/>
        <v>336847</v>
      </c>
      <c r="F18" s="28">
        <f t="shared" si="2"/>
        <v>2179604</v>
      </c>
      <c r="G18" s="28">
        <f t="shared" si="2"/>
        <v>800000</v>
      </c>
      <c r="H18" s="28">
        <f t="shared" si="2"/>
        <v>1000000</v>
      </c>
      <c r="I18" s="54">
        <f t="shared" si="2"/>
        <v>24134423</v>
      </c>
    </row>
    <row r="19" spans="1:13" ht="15" customHeight="1" x14ac:dyDescent="0.25">
      <c r="A19" s="29"/>
      <c r="B19" s="29"/>
      <c r="C19" s="30"/>
      <c r="D19" s="30"/>
      <c r="E19" s="30"/>
      <c r="F19" s="30"/>
      <c r="G19" s="30"/>
      <c r="H19" s="30"/>
      <c r="I19" s="30"/>
    </row>
    <row r="20" spans="1:13" x14ac:dyDescent="0.25">
      <c r="G20" s="64"/>
    </row>
    <row r="21" spans="1:13" x14ac:dyDescent="0.25">
      <c r="A21" s="2" t="s">
        <v>103</v>
      </c>
    </row>
    <row r="22" spans="1:13" x14ac:dyDescent="0.25">
      <c r="A22" s="81" t="s">
        <v>104</v>
      </c>
      <c r="B22" s="94" t="s">
        <v>105</v>
      </c>
      <c r="C22" s="95"/>
      <c r="D22" s="96"/>
      <c r="E22" s="74" t="s">
        <v>106</v>
      </c>
    </row>
    <row r="23" spans="1:13" x14ac:dyDescent="0.25">
      <c r="A23" t="s">
        <v>22</v>
      </c>
      <c r="B23" t="s">
        <v>107</v>
      </c>
      <c r="C23" s="78"/>
      <c r="D23" s="78"/>
      <c r="E23" s="79">
        <v>1685</v>
      </c>
      <c r="F23" s="78"/>
    </row>
    <row r="24" spans="1:13" x14ac:dyDescent="0.25">
      <c r="A24" t="s">
        <v>22</v>
      </c>
      <c r="B24" t="s">
        <v>108</v>
      </c>
      <c r="C24" s="78"/>
      <c r="D24" s="78"/>
      <c r="E24" s="80">
        <v>1400</v>
      </c>
      <c r="F24" s="78"/>
      <c r="J24" s="75"/>
      <c r="M24" s="76"/>
    </row>
    <row r="25" spans="1:13" x14ac:dyDescent="0.25">
      <c r="A25" t="s">
        <v>22</v>
      </c>
      <c r="B25" t="s">
        <v>109</v>
      </c>
      <c r="C25" s="78"/>
      <c r="D25" s="78"/>
      <c r="E25" s="80">
        <v>4862</v>
      </c>
      <c r="F25" s="78"/>
      <c r="J25" s="75"/>
      <c r="M25" s="76"/>
    </row>
    <row r="26" spans="1:13" x14ac:dyDescent="0.25">
      <c r="A26" t="s">
        <v>22</v>
      </c>
      <c r="B26" t="s">
        <v>110</v>
      </c>
      <c r="C26" s="78"/>
      <c r="D26" s="78"/>
      <c r="E26" s="80">
        <v>4464</v>
      </c>
      <c r="F26" s="78"/>
      <c r="J26" s="75"/>
      <c r="M26" s="76"/>
    </row>
    <row r="27" spans="1:13" x14ac:dyDescent="0.25">
      <c r="A27" t="s">
        <v>22</v>
      </c>
      <c r="B27" t="s">
        <v>111</v>
      </c>
      <c r="C27" s="78"/>
      <c r="D27" s="78"/>
      <c r="E27" s="80">
        <v>679</v>
      </c>
      <c r="F27" s="78"/>
      <c r="J27" s="75"/>
      <c r="M27" s="76"/>
    </row>
    <row r="28" spans="1:13" x14ac:dyDescent="0.25">
      <c r="A28" t="s">
        <v>22</v>
      </c>
      <c r="B28" t="s">
        <v>112</v>
      </c>
      <c r="C28" s="78"/>
      <c r="D28" s="78"/>
      <c r="E28" s="80">
        <v>7376</v>
      </c>
      <c r="F28" s="78"/>
      <c r="J28" s="75"/>
      <c r="M28" s="77"/>
    </row>
    <row r="29" spans="1:13" x14ac:dyDescent="0.25">
      <c r="A29" t="s">
        <v>22</v>
      </c>
      <c r="B29" t="s">
        <v>113</v>
      </c>
      <c r="C29" s="78"/>
      <c r="D29" s="78"/>
      <c r="E29" s="80">
        <v>1663</v>
      </c>
      <c r="F29" s="78"/>
      <c r="J29" s="75"/>
      <c r="M29" s="76"/>
    </row>
    <row r="30" spans="1:13" x14ac:dyDescent="0.25">
      <c r="A30" t="s">
        <v>22</v>
      </c>
      <c r="B30" t="s">
        <v>114</v>
      </c>
      <c r="C30" s="78"/>
      <c r="D30" s="78"/>
      <c r="E30" s="80">
        <v>14733</v>
      </c>
      <c r="F30" s="78"/>
      <c r="J30" s="75"/>
      <c r="M30" s="76"/>
    </row>
    <row r="31" spans="1:13" x14ac:dyDescent="0.25">
      <c r="A31" t="s">
        <v>22</v>
      </c>
      <c r="B31" t="s">
        <v>115</v>
      </c>
      <c r="C31" s="78"/>
      <c r="D31" s="78"/>
      <c r="E31" s="80">
        <v>9747</v>
      </c>
      <c r="F31" s="78"/>
      <c r="J31" s="75"/>
      <c r="M31" s="76"/>
    </row>
    <row r="32" spans="1:13" x14ac:dyDescent="0.25">
      <c r="A32" t="s">
        <v>22</v>
      </c>
      <c r="B32" t="s">
        <v>116</v>
      </c>
      <c r="C32" s="78"/>
      <c r="D32" s="78"/>
      <c r="E32" s="80">
        <v>8265</v>
      </c>
      <c r="F32" s="78"/>
      <c r="J32" s="75"/>
      <c r="M32" s="76"/>
    </row>
    <row r="33" spans="1:13" x14ac:dyDescent="0.25">
      <c r="A33" t="s">
        <v>22</v>
      </c>
      <c r="B33" t="s">
        <v>117</v>
      </c>
      <c r="C33" s="78"/>
      <c r="D33" s="78"/>
      <c r="E33" s="80">
        <v>5787</v>
      </c>
      <c r="F33" s="78"/>
      <c r="J33" s="75"/>
      <c r="M33" s="76"/>
    </row>
    <row r="34" spans="1:13" x14ac:dyDescent="0.25">
      <c r="A34" t="s">
        <v>22</v>
      </c>
      <c r="B34" t="s">
        <v>118</v>
      </c>
      <c r="C34" s="78"/>
      <c r="D34" s="78"/>
      <c r="E34" s="80">
        <v>17616</v>
      </c>
      <c r="F34" s="78"/>
      <c r="J34" s="75"/>
      <c r="M34" s="76"/>
    </row>
    <row r="35" spans="1:13" x14ac:dyDescent="0.25">
      <c r="A35" t="s">
        <v>22</v>
      </c>
      <c r="B35" t="s">
        <v>119</v>
      </c>
      <c r="C35" s="78"/>
      <c r="D35" s="78"/>
      <c r="E35" s="80">
        <v>7761</v>
      </c>
      <c r="F35" s="78"/>
      <c r="J35" s="75"/>
      <c r="M35" s="76"/>
    </row>
    <row r="36" spans="1:13" x14ac:dyDescent="0.25">
      <c r="A36" t="s">
        <v>22</v>
      </c>
      <c r="B36" t="s">
        <v>120</v>
      </c>
      <c r="C36" s="78"/>
      <c r="D36" s="78"/>
      <c r="E36" s="80">
        <v>504</v>
      </c>
      <c r="F36" s="78"/>
      <c r="J36" s="75"/>
      <c r="M36" s="76"/>
    </row>
    <row r="37" spans="1:13" x14ac:dyDescent="0.25">
      <c r="A37" t="s">
        <v>22</v>
      </c>
      <c r="B37" t="s">
        <v>121</v>
      </c>
      <c r="C37" s="78"/>
      <c r="D37" s="78"/>
      <c r="E37" s="80">
        <v>2556</v>
      </c>
      <c r="F37" s="78"/>
      <c r="J37" s="75"/>
      <c r="M37" s="77"/>
    </row>
    <row r="38" spans="1:13" x14ac:dyDescent="0.25">
      <c r="A38" t="s">
        <v>22</v>
      </c>
      <c r="B38" t="s">
        <v>122</v>
      </c>
      <c r="C38" s="78"/>
      <c r="D38" s="78"/>
      <c r="E38" s="80">
        <v>3300</v>
      </c>
      <c r="F38" s="78"/>
      <c r="J38" s="75"/>
      <c r="M38" s="76"/>
    </row>
    <row r="39" spans="1:13" x14ac:dyDescent="0.25">
      <c r="A39" t="s">
        <v>22</v>
      </c>
      <c r="B39" t="s">
        <v>123</v>
      </c>
      <c r="C39" s="78"/>
      <c r="D39" s="78"/>
      <c r="E39" s="80">
        <v>2700</v>
      </c>
      <c r="F39" s="78"/>
      <c r="J39" s="75"/>
      <c r="M39" s="76"/>
    </row>
    <row r="40" spans="1:13" x14ac:dyDescent="0.25">
      <c r="A40" t="s">
        <v>22</v>
      </c>
      <c r="B40" t="s">
        <v>124</v>
      </c>
      <c r="C40" s="78"/>
      <c r="D40" s="78"/>
      <c r="E40" s="80">
        <v>2618</v>
      </c>
      <c r="F40" s="78"/>
      <c r="J40" s="75"/>
      <c r="M40" s="76"/>
    </row>
    <row r="41" spans="1:13" x14ac:dyDescent="0.25">
      <c r="A41" t="s">
        <v>22</v>
      </c>
      <c r="B41" t="s">
        <v>125</v>
      </c>
      <c r="C41" s="78"/>
      <c r="D41" s="78"/>
      <c r="E41" s="80">
        <v>2222</v>
      </c>
      <c r="F41" s="78"/>
      <c r="J41" s="75"/>
      <c r="M41" s="76"/>
    </row>
    <row r="42" spans="1:13" x14ac:dyDescent="0.25">
      <c r="A42" t="s">
        <v>22</v>
      </c>
      <c r="B42" t="s">
        <v>126</v>
      </c>
      <c r="C42" s="78"/>
      <c r="D42" s="78"/>
      <c r="E42" s="80">
        <v>42414</v>
      </c>
      <c r="F42" s="78"/>
      <c r="J42" s="75"/>
      <c r="M42" s="76"/>
    </row>
    <row r="43" spans="1:13" x14ac:dyDescent="0.25">
      <c r="A43" t="s">
        <v>22</v>
      </c>
      <c r="B43" t="s">
        <v>127</v>
      </c>
      <c r="C43" s="78"/>
      <c r="D43" s="78"/>
      <c r="E43" s="80">
        <v>20432</v>
      </c>
      <c r="F43" s="78"/>
      <c r="J43" s="75"/>
      <c r="M43" s="76"/>
    </row>
    <row r="44" spans="1:13" x14ac:dyDescent="0.25">
      <c r="A44" t="s">
        <v>22</v>
      </c>
      <c r="B44" t="s">
        <v>128</v>
      </c>
      <c r="C44" s="78"/>
      <c r="D44" s="78"/>
      <c r="E44" s="80">
        <v>6712</v>
      </c>
      <c r="F44" s="78"/>
      <c r="J44" s="75"/>
      <c r="M44" s="77"/>
    </row>
    <row r="45" spans="1:13" x14ac:dyDescent="0.25">
      <c r="A45" t="s">
        <v>22</v>
      </c>
      <c r="B45" t="s">
        <v>129</v>
      </c>
      <c r="C45" s="78"/>
      <c r="D45" s="78"/>
      <c r="E45" s="80">
        <v>7040</v>
      </c>
      <c r="F45" s="78"/>
      <c r="J45" s="75"/>
      <c r="M45" s="76"/>
    </row>
    <row r="46" spans="1:13" x14ac:dyDescent="0.25">
      <c r="A46" t="s">
        <v>22</v>
      </c>
      <c r="B46" t="s">
        <v>130</v>
      </c>
      <c r="C46" s="78"/>
      <c r="D46" s="78"/>
      <c r="E46" s="80">
        <v>10069</v>
      </c>
      <c r="F46" s="78"/>
      <c r="J46" s="75"/>
      <c r="M46" s="76"/>
    </row>
    <row r="47" spans="1:13" x14ac:dyDescent="0.25">
      <c r="A47" t="s">
        <v>22</v>
      </c>
      <c r="B47" t="s">
        <v>131</v>
      </c>
      <c r="C47" s="78"/>
      <c r="D47" s="78"/>
      <c r="E47" s="80">
        <v>5346</v>
      </c>
      <c r="F47" s="78"/>
      <c r="J47" s="75"/>
      <c r="M47" s="76"/>
    </row>
    <row r="48" spans="1:13" x14ac:dyDescent="0.25">
      <c r="A48" t="s">
        <v>22</v>
      </c>
      <c r="B48" t="s">
        <v>132</v>
      </c>
      <c r="C48" s="78"/>
      <c r="D48" s="78"/>
      <c r="E48" s="80">
        <v>7201</v>
      </c>
      <c r="F48" s="78"/>
      <c r="J48" s="75"/>
      <c r="M48" s="76"/>
    </row>
    <row r="49" spans="1:13" x14ac:dyDescent="0.25">
      <c r="A49" t="s">
        <v>22</v>
      </c>
      <c r="B49" t="s">
        <v>133</v>
      </c>
      <c r="C49" s="78"/>
      <c r="D49" s="78"/>
      <c r="E49" s="80">
        <v>6453</v>
      </c>
      <c r="F49" s="78"/>
      <c r="J49" s="75"/>
      <c r="M49" s="76"/>
    </row>
    <row r="50" spans="1:13" x14ac:dyDescent="0.25">
      <c r="A50" t="s">
        <v>22</v>
      </c>
      <c r="B50" t="s">
        <v>134</v>
      </c>
      <c r="C50" s="78"/>
      <c r="D50" s="78"/>
      <c r="E50" s="80">
        <v>829</v>
      </c>
      <c r="F50" s="78"/>
      <c r="J50" s="75"/>
      <c r="M50" s="76"/>
    </row>
    <row r="51" spans="1:13" x14ac:dyDescent="0.25">
      <c r="A51" t="s">
        <v>22</v>
      </c>
      <c r="B51" t="s">
        <v>135</v>
      </c>
      <c r="C51" s="78"/>
      <c r="D51" s="78"/>
      <c r="E51" s="80">
        <v>11205</v>
      </c>
      <c r="F51" s="78"/>
      <c r="J51" s="75"/>
      <c r="M51" s="76"/>
    </row>
    <row r="52" spans="1:13" x14ac:dyDescent="0.25">
      <c r="A52" t="s">
        <v>22</v>
      </c>
      <c r="B52" t="s">
        <v>136</v>
      </c>
      <c r="C52" s="78"/>
      <c r="D52" s="78"/>
      <c r="E52" s="80">
        <v>15663</v>
      </c>
      <c r="F52" s="78"/>
      <c r="J52" s="75"/>
      <c r="M52" s="76"/>
    </row>
    <row r="53" spans="1:13" x14ac:dyDescent="0.25">
      <c r="A53" t="s">
        <v>22</v>
      </c>
      <c r="B53" t="s">
        <v>137</v>
      </c>
      <c r="C53" s="78"/>
      <c r="D53" s="78"/>
      <c r="E53" s="80">
        <v>13613</v>
      </c>
      <c r="F53" s="78"/>
      <c r="J53" s="75"/>
      <c r="M53" s="77"/>
    </row>
    <row r="54" spans="1:13" x14ac:dyDescent="0.25">
      <c r="A54" t="s">
        <v>22</v>
      </c>
      <c r="B54" t="s">
        <v>138</v>
      </c>
      <c r="C54" s="78"/>
      <c r="D54" s="78"/>
      <c r="E54" s="80">
        <v>32413</v>
      </c>
      <c r="F54" s="78"/>
      <c r="J54" s="75"/>
      <c r="M54" s="76"/>
    </row>
    <row r="55" spans="1:13" x14ac:dyDescent="0.25">
      <c r="A55" t="s">
        <v>22</v>
      </c>
      <c r="B55" t="s">
        <v>139</v>
      </c>
      <c r="C55" s="78"/>
      <c r="D55" s="78"/>
      <c r="E55" s="80">
        <v>1890</v>
      </c>
      <c r="F55" s="78"/>
      <c r="J55" s="75"/>
      <c r="M55" s="76"/>
    </row>
    <row r="56" spans="1:13" x14ac:dyDescent="0.25">
      <c r="A56" t="s">
        <v>22</v>
      </c>
      <c r="B56" t="s">
        <v>140</v>
      </c>
      <c r="C56" s="78"/>
      <c r="D56" s="78"/>
      <c r="E56" s="80">
        <v>2835</v>
      </c>
      <c r="F56" s="78"/>
      <c r="J56" s="75"/>
      <c r="M56" s="76"/>
    </row>
    <row r="57" spans="1:13" x14ac:dyDescent="0.25">
      <c r="A57" t="s">
        <v>22</v>
      </c>
      <c r="B57" t="s">
        <v>141</v>
      </c>
      <c r="C57" s="78"/>
      <c r="D57" s="78"/>
      <c r="E57" s="80">
        <v>2550</v>
      </c>
      <c r="F57" s="78"/>
      <c r="J57" s="75"/>
      <c r="M57" s="76"/>
    </row>
    <row r="58" spans="1:13" x14ac:dyDescent="0.25">
      <c r="A58" t="s">
        <v>22</v>
      </c>
      <c r="B58" t="s">
        <v>142</v>
      </c>
      <c r="C58" s="78"/>
      <c r="D58" s="78"/>
      <c r="E58" s="80">
        <v>23268</v>
      </c>
      <c r="F58" s="78"/>
      <c r="J58" s="75"/>
      <c r="M58" s="76"/>
    </row>
    <row r="59" spans="1:13" x14ac:dyDescent="0.25">
      <c r="A59" t="s">
        <v>22</v>
      </c>
      <c r="B59" t="s">
        <v>143</v>
      </c>
      <c r="C59" s="78"/>
      <c r="D59" s="78"/>
      <c r="E59" s="80">
        <v>1249</v>
      </c>
      <c r="F59" s="78"/>
      <c r="J59" s="75"/>
      <c r="M59" s="76"/>
    </row>
    <row r="60" spans="1:13" x14ac:dyDescent="0.25">
      <c r="A60" t="s">
        <v>22</v>
      </c>
      <c r="B60" t="s">
        <v>144</v>
      </c>
      <c r="C60" s="78"/>
      <c r="D60" s="78"/>
      <c r="E60" s="80">
        <v>2738</v>
      </c>
      <c r="F60" s="78"/>
      <c r="J60" s="75"/>
      <c r="M60" s="76"/>
    </row>
    <row r="61" spans="1:13" x14ac:dyDescent="0.25">
      <c r="A61" t="s">
        <v>22</v>
      </c>
      <c r="B61" t="s">
        <v>145</v>
      </c>
      <c r="C61" s="78"/>
      <c r="D61" s="78"/>
      <c r="E61" s="80">
        <v>5550</v>
      </c>
      <c r="F61" s="78"/>
      <c r="J61" s="75"/>
      <c r="M61" s="76"/>
    </row>
    <row r="62" spans="1:13" x14ac:dyDescent="0.25">
      <c r="A62" t="s">
        <v>22</v>
      </c>
      <c r="B62" t="s">
        <v>146</v>
      </c>
      <c r="C62" s="78"/>
      <c r="D62" s="78"/>
      <c r="E62" s="80">
        <v>534</v>
      </c>
      <c r="F62" s="78"/>
      <c r="J62" s="75"/>
      <c r="M62" s="76"/>
    </row>
    <row r="63" spans="1:13" x14ac:dyDescent="0.25">
      <c r="A63" t="s">
        <v>22</v>
      </c>
      <c r="B63" t="s">
        <v>147</v>
      </c>
      <c r="C63" s="78"/>
      <c r="D63" s="78"/>
      <c r="E63" s="80">
        <v>3002</v>
      </c>
      <c r="F63" s="78"/>
      <c r="J63" s="75"/>
      <c r="M63" s="76"/>
    </row>
    <row r="64" spans="1:13" x14ac:dyDescent="0.25">
      <c r="A64" t="s">
        <v>22</v>
      </c>
      <c r="B64" t="s">
        <v>148</v>
      </c>
      <c r="C64" s="78"/>
      <c r="D64" s="78"/>
      <c r="E64" s="80">
        <v>3528</v>
      </c>
      <c r="F64" s="78"/>
      <c r="J64" s="75"/>
      <c r="M64" s="76"/>
    </row>
    <row r="65" spans="1:13" x14ac:dyDescent="0.25">
      <c r="A65" t="s">
        <v>22</v>
      </c>
      <c r="B65" t="s">
        <v>149</v>
      </c>
      <c r="C65" s="78"/>
      <c r="D65" s="78"/>
      <c r="E65" s="80">
        <v>3383</v>
      </c>
      <c r="F65" s="78"/>
      <c r="J65" s="75"/>
      <c r="M65" s="76"/>
    </row>
    <row r="66" spans="1:13" x14ac:dyDescent="0.25">
      <c r="A66" t="s">
        <v>22</v>
      </c>
      <c r="B66" t="s">
        <v>150</v>
      </c>
      <c r="C66" s="78"/>
      <c r="D66" s="78"/>
      <c r="E66" s="80">
        <v>3578</v>
      </c>
      <c r="F66" s="78"/>
      <c r="J66" s="75"/>
      <c r="M66" s="77"/>
    </row>
    <row r="67" spans="1:13" x14ac:dyDescent="0.25">
      <c r="A67" t="s">
        <v>22</v>
      </c>
      <c r="B67" t="s">
        <v>151</v>
      </c>
      <c r="C67" s="78"/>
      <c r="D67" s="78"/>
      <c r="E67" s="80">
        <v>3414</v>
      </c>
      <c r="F67" s="78"/>
      <c r="J67" s="75"/>
      <c r="M67" s="76"/>
    </row>
    <row r="68" spans="1:13" ht="15.75" thickBot="1" x14ac:dyDescent="0.3">
      <c r="E68" s="82">
        <f>SUM(E23:E67)</f>
        <v>336847</v>
      </c>
      <c r="J68" s="75"/>
      <c r="M68" s="76"/>
    </row>
    <row r="69" spans="1:13" ht="15.75" thickTop="1" x14ac:dyDescent="0.25">
      <c r="E69" s="48"/>
      <c r="J69" s="75"/>
      <c r="M69" s="76"/>
    </row>
    <row r="70" spans="1:13" x14ac:dyDescent="0.25">
      <c r="E70" s="48"/>
      <c r="J70" s="75"/>
      <c r="M70" s="76"/>
    </row>
    <row r="71" spans="1:13" x14ac:dyDescent="0.25">
      <c r="E71" s="48"/>
      <c r="J71" s="75"/>
      <c r="M71" s="76"/>
    </row>
    <row r="72" spans="1:13" x14ac:dyDescent="0.25">
      <c r="A72" s="2" t="s">
        <v>152</v>
      </c>
      <c r="E72" s="48"/>
      <c r="J72" s="75"/>
      <c r="M72" s="76"/>
    </row>
    <row r="73" spans="1:13" x14ac:dyDescent="0.25">
      <c r="A73" s="81" t="s">
        <v>104</v>
      </c>
      <c r="B73" s="94" t="s">
        <v>105</v>
      </c>
      <c r="C73" s="95"/>
      <c r="D73" s="96"/>
      <c r="E73" s="74" t="s">
        <v>106</v>
      </c>
      <c r="F73" s="74" t="s">
        <v>153</v>
      </c>
      <c r="J73" s="75"/>
      <c r="M73" s="76"/>
    </row>
    <row r="74" spans="1:13" x14ac:dyDescent="0.25">
      <c r="A74" s="2" t="s">
        <v>22</v>
      </c>
      <c r="B74" t="s">
        <v>154</v>
      </c>
      <c r="E74" s="48">
        <v>4960</v>
      </c>
      <c r="J74" s="75"/>
      <c r="M74" s="76"/>
    </row>
    <row r="75" spans="1:13" x14ac:dyDescent="0.25">
      <c r="A75" s="2" t="s">
        <v>22</v>
      </c>
      <c r="B75" t="s">
        <v>155</v>
      </c>
      <c r="E75" s="48">
        <v>63180</v>
      </c>
    </row>
    <row r="76" spans="1:13" x14ac:dyDescent="0.25">
      <c r="A76" s="2" t="s">
        <v>22</v>
      </c>
      <c r="B76" t="s">
        <v>156</v>
      </c>
      <c r="E76" s="48">
        <v>0</v>
      </c>
    </row>
    <row r="77" spans="1:13" x14ac:dyDescent="0.25">
      <c r="A77" s="2" t="s">
        <v>22</v>
      </c>
      <c r="B77" t="s">
        <v>157</v>
      </c>
      <c r="E77" s="48">
        <v>50</v>
      </c>
    </row>
    <row r="78" spans="1:13" x14ac:dyDescent="0.25">
      <c r="A78" s="2" t="s">
        <v>22</v>
      </c>
      <c r="B78" t="s">
        <v>158</v>
      </c>
      <c r="E78" s="48">
        <v>0</v>
      </c>
    </row>
    <row r="79" spans="1:13" x14ac:dyDescent="0.25">
      <c r="A79" s="2" t="s">
        <v>22</v>
      </c>
      <c r="B79" t="s">
        <v>159</v>
      </c>
      <c r="E79" s="48">
        <v>0</v>
      </c>
    </row>
    <row r="80" spans="1:13" x14ac:dyDescent="0.25">
      <c r="A80" s="2" t="s">
        <v>22</v>
      </c>
      <c r="B80" t="s">
        <v>160</v>
      </c>
      <c r="E80" s="48">
        <v>0</v>
      </c>
    </row>
    <row r="81" spans="1:6" x14ac:dyDescent="0.25">
      <c r="A81" s="2" t="s">
        <v>22</v>
      </c>
      <c r="B81" t="s">
        <v>161</v>
      </c>
      <c r="E81" s="48">
        <v>12090</v>
      </c>
    </row>
    <row r="82" spans="1:6" x14ac:dyDescent="0.25">
      <c r="A82" s="2" t="s">
        <v>22</v>
      </c>
      <c r="B82" t="s">
        <v>162</v>
      </c>
      <c r="E82" s="48">
        <v>0</v>
      </c>
    </row>
    <row r="83" spans="1:6" x14ac:dyDescent="0.25">
      <c r="A83" s="2" t="s">
        <v>22</v>
      </c>
      <c r="B83" t="s">
        <v>163</v>
      </c>
      <c r="E83" s="48">
        <v>3466</v>
      </c>
    </row>
    <row r="84" spans="1:6" x14ac:dyDescent="0.25">
      <c r="A84" s="2" t="s">
        <v>22</v>
      </c>
      <c r="B84" t="s">
        <v>164</v>
      </c>
      <c r="E84" s="48">
        <v>0</v>
      </c>
    </row>
    <row r="85" spans="1:6" x14ac:dyDescent="0.25">
      <c r="A85" s="2" t="s">
        <v>22</v>
      </c>
      <c r="B85" t="s">
        <v>165</v>
      </c>
      <c r="E85" s="48">
        <v>6419</v>
      </c>
    </row>
    <row r="86" spans="1:6" x14ac:dyDescent="0.25">
      <c r="A86" s="2" t="s">
        <v>22</v>
      </c>
      <c r="B86" t="s">
        <v>166</v>
      </c>
      <c r="E86" s="48">
        <v>0</v>
      </c>
      <c r="F86" s="48">
        <f>SUM(E74:E86)</f>
        <v>90165</v>
      </c>
    </row>
    <row r="87" spans="1:6" x14ac:dyDescent="0.25">
      <c r="A87" s="2" t="s">
        <v>167</v>
      </c>
      <c r="B87" t="s">
        <v>168</v>
      </c>
      <c r="E87" s="48">
        <v>2500</v>
      </c>
      <c r="F87" s="48">
        <f>+E87</f>
        <v>2500</v>
      </c>
    </row>
    <row r="88" spans="1:6" x14ac:dyDescent="0.25">
      <c r="A88" s="2" t="s">
        <v>25</v>
      </c>
      <c r="B88" t="s">
        <v>169</v>
      </c>
      <c r="E88" s="48">
        <v>38704</v>
      </c>
      <c r="F88" s="48">
        <f t="shared" ref="F88:F89" si="3">+E88</f>
        <v>38704</v>
      </c>
    </row>
    <row r="89" spans="1:6" x14ac:dyDescent="0.25">
      <c r="A89" s="2" t="s">
        <v>170</v>
      </c>
      <c r="B89" t="s">
        <v>171</v>
      </c>
      <c r="E89" s="48">
        <v>300000</v>
      </c>
      <c r="F89" s="48">
        <f t="shared" si="3"/>
        <v>300000</v>
      </c>
    </row>
    <row r="90" spans="1:6" ht="15.75" thickBot="1" x14ac:dyDescent="0.3">
      <c r="B90"/>
      <c r="E90" s="82">
        <f>SUM(E74:E89)</f>
        <v>431369</v>
      </c>
      <c r="F90" s="82">
        <f>SUM(F74:F89)</f>
        <v>431369</v>
      </c>
    </row>
    <row r="91" spans="1:6" ht="15.75" thickTop="1" x14ac:dyDescent="0.25">
      <c r="B91"/>
    </row>
  </sheetData>
  <mergeCells count="3">
    <mergeCell ref="B5:I5"/>
    <mergeCell ref="B22:D22"/>
    <mergeCell ref="B73:D73"/>
  </mergeCells>
  <printOptions horizontalCentered="1"/>
  <pageMargins left="0.75" right="0.75" top="0.5" bottom="0.5" header="0.3" footer="0.3"/>
  <pageSetup scale="86" fitToHeight="0" orientation="landscape" r:id="rId1"/>
  <headerFooter>
    <oddFooter>&amp;L&amp;8&amp;D&amp;R&amp;8&amp;F</oddFooter>
  </headerFooter>
  <rowBreaks count="1" manualBreakCount="1">
    <brk id="2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CDACA-5385-4B82-965E-284219926033}">
  <sheetPr>
    <tabColor rgb="FFFFC000"/>
    <pageSetUpPr fitToPage="1"/>
  </sheetPr>
  <dimension ref="A1:E25"/>
  <sheetViews>
    <sheetView tabSelected="1" zoomScaleNormal="100" workbookViewId="0">
      <selection activeCell="J31" sqref="J31"/>
    </sheetView>
  </sheetViews>
  <sheetFormatPr defaultColWidth="8.85546875" defaultRowHeight="15" x14ac:dyDescent="0.25"/>
  <cols>
    <col min="1" max="1" width="26.28515625" style="2" customWidth="1"/>
    <col min="2" max="2" width="14" style="1" bestFit="1" customWidth="1"/>
    <col min="3" max="3" width="14.5703125" style="1" customWidth="1"/>
    <col min="4" max="4" width="15" style="1" customWidth="1"/>
    <col min="5" max="16" width="14" style="2" customWidth="1"/>
    <col min="17" max="16384" width="8.85546875" style="2"/>
  </cols>
  <sheetData>
    <row r="1" spans="1:5" ht="25.9" customHeight="1" x14ac:dyDescent="0.4">
      <c r="A1" s="4"/>
      <c r="D1" s="67"/>
    </row>
    <row r="2" spans="1:5" ht="25.9" customHeight="1" x14ac:dyDescent="0.3">
      <c r="A2" s="4"/>
      <c r="D2" s="12" t="str">
        <f>+'Attachment A - Base'!L3</f>
        <v>BPA #23-01</v>
      </c>
    </row>
    <row r="3" spans="1:5" ht="18.75" customHeight="1" x14ac:dyDescent="0.3">
      <c r="A3" s="4" t="s">
        <v>172</v>
      </c>
    </row>
    <row r="4" spans="1:5" ht="20.100000000000001" customHeight="1" x14ac:dyDescent="0.25">
      <c r="A4" s="46">
        <f>+'Attachment A - Base'!A4</f>
        <v>45170</v>
      </c>
    </row>
    <row r="5" spans="1:5" x14ac:dyDescent="0.25">
      <c r="B5" s="93"/>
      <c r="C5" s="93"/>
      <c r="D5" s="93"/>
    </row>
    <row r="6" spans="1:5" x14ac:dyDescent="0.25">
      <c r="B6" s="1">
        <v>-1</v>
      </c>
      <c r="C6" s="1">
        <v>-2</v>
      </c>
      <c r="D6" s="49">
        <v>-3</v>
      </c>
    </row>
    <row r="7" spans="1:5" ht="45.75" thickBot="1" x14ac:dyDescent="0.3">
      <c r="A7" s="8"/>
      <c r="B7" s="9" t="s">
        <v>64</v>
      </c>
      <c r="C7" s="9" t="s">
        <v>102</v>
      </c>
      <c r="D7" s="50" t="s">
        <v>69</v>
      </c>
    </row>
    <row r="8" spans="1:5" ht="19.149999999999999" customHeight="1" x14ac:dyDescent="0.25">
      <c r="A8" s="36"/>
      <c r="B8" s="40"/>
      <c r="C8" s="37"/>
      <c r="D8" s="51"/>
    </row>
    <row r="9" spans="1:5" ht="19.149999999999999" customHeight="1" x14ac:dyDescent="0.25">
      <c r="A9" s="2" t="s">
        <v>21</v>
      </c>
      <c r="B9" s="17"/>
      <c r="C9" s="17"/>
      <c r="D9" s="52">
        <f>SUM(B9:C9)</f>
        <v>0</v>
      </c>
    </row>
    <row r="10" spans="1:5" ht="19.149999999999999" customHeight="1" x14ac:dyDescent="0.25">
      <c r="A10" s="2" t="s">
        <v>22</v>
      </c>
      <c r="B10" s="17">
        <v>1375000</v>
      </c>
      <c r="C10" s="17"/>
      <c r="D10" s="52">
        <f t="shared" ref="D10:D14" si="0">SUM(B10:C10)</f>
        <v>1375000</v>
      </c>
    </row>
    <row r="11" spans="1:5" ht="19.149999999999999" customHeight="1" x14ac:dyDescent="0.25">
      <c r="A11" s="2" t="s">
        <v>23</v>
      </c>
      <c r="B11" s="17"/>
      <c r="C11" s="17"/>
      <c r="D11" s="52">
        <f t="shared" si="0"/>
        <v>0</v>
      </c>
    </row>
    <row r="12" spans="1:5" ht="19.149999999999999" customHeight="1" x14ac:dyDescent="0.25">
      <c r="A12" s="2" t="s">
        <v>24</v>
      </c>
      <c r="B12" s="17">
        <v>445000</v>
      </c>
      <c r="C12" s="17">
        <f>222000+235000</f>
        <v>457000</v>
      </c>
      <c r="D12" s="52">
        <f t="shared" ref="D12" si="1">SUM(B12:C12)</f>
        <v>902000</v>
      </c>
      <c r="E12" s="2" t="s">
        <v>173</v>
      </c>
    </row>
    <row r="13" spans="1:5" ht="19.149999999999999" customHeight="1" x14ac:dyDescent="0.25">
      <c r="A13" s="2" t="s">
        <v>25</v>
      </c>
      <c r="B13" s="17"/>
      <c r="C13" s="17"/>
      <c r="D13" s="52">
        <f t="shared" si="0"/>
        <v>0</v>
      </c>
    </row>
    <row r="14" spans="1:5" ht="19.149999999999999" customHeight="1" x14ac:dyDescent="0.25">
      <c r="A14" s="2" t="s">
        <v>26</v>
      </c>
      <c r="B14" s="17"/>
      <c r="C14" s="17"/>
      <c r="D14" s="52">
        <f t="shared" si="0"/>
        <v>0</v>
      </c>
    </row>
    <row r="15" spans="1:5" ht="19.149999999999999" customHeight="1" x14ac:dyDescent="0.25">
      <c r="A15" s="24" t="s">
        <v>27</v>
      </c>
      <c r="B15" s="19">
        <f t="shared" ref="B15:D15" si="2">SUM(B9:B14)</f>
        <v>1820000</v>
      </c>
      <c r="C15" s="19">
        <f t="shared" si="2"/>
        <v>457000</v>
      </c>
      <c r="D15" s="53">
        <f t="shared" si="2"/>
        <v>2277000</v>
      </c>
    </row>
    <row r="16" spans="1:5" ht="19.149999999999999" customHeight="1" x14ac:dyDescent="0.25">
      <c r="B16" s="48"/>
      <c r="C16" s="17"/>
      <c r="D16" s="52"/>
    </row>
    <row r="17" spans="1:4" ht="19.149999999999999" customHeight="1" x14ac:dyDescent="0.25">
      <c r="A17" s="2" t="s">
        <v>29</v>
      </c>
      <c r="B17" s="17">
        <v>222000</v>
      </c>
      <c r="C17" s="17">
        <v>-222000</v>
      </c>
      <c r="D17" s="52">
        <f>SUM(B17:C17)</f>
        <v>0</v>
      </c>
    </row>
    <row r="18" spans="1:4" ht="15" customHeight="1" thickBot="1" x14ac:dyDescent="0.3">
      <c r="A18" s="26" t="s">
        <v>30</v>
      </c>
      <c r="B18" s="28">
        <f t="shared" ref="B18:D18" si="3">SUM(B15:B17)</f>
        <v>2042000</v>
      </c>
      <c r="C18" s="28">
        <f t="shared" si="3"/>
        <v>235000</v>
      </c>
      <c r="D18" s="54">
        <f t="shared" si="3"/>
        <v>2277000</v>
      </c>
    </row>
    <row r="19" spans="1:4" ht="15" customHeight="1" x14ac:dyDescent="0.25">
      <c r="A19" s="29"/>
      <c r="B19" s="29"/>
      <c r="C19" s="30"/>
      <c r="D19" s="30"/>
    </row>
    <row r="20" spans="1:4" x14ac:dyDescent="0.25">
      <c r="A20" s="2" t="s">
        <v>174</v>
      </c>
    </row>
    <row r="21" spans="1:4" x14ac:dyDescent="0.25">
      <c r="A21" s="2" t="s">
        <v>175</v>
      </c>
    </row>
    <row r="22" spans="1:4" x14ac:dyDescent="0.25">
      <c r="A22" s="2" t="s">
        <v>176</v>
      </c>
    </row>
    <row r="23" spans="1:4" x14ac:dyDescent="0.25">
      <c r="A23" s="2" t="s">
        <v>177</v>
      </c>
    </row>
    <row r="24" spans="1:4" x14ac:dyDescent="0.25">
      <c r="A24" s="2" t="s">
        <v>178</v>
      </c>
    </row>
    <row r="25" spans="1:4" x14ac:dyDescent="0.25">
      <c r="A25" s="2" t="s">
        <v>179</v>
      </c>
    </row>
  </sheetData>
  <mergeCells count="1">
    <mergeCell ref="B5:D5"/>
  </mergeCells>
  <printOptions horizontalCentered="1"/>
  <pageMargins left="0.75" right="0.75" top="0.5" bottom="0.5" header="0.3" footer="0.3"/>
  <pageSetup orientation="landscape" r:id="rId1"/>
  <headerFooter>
    <oddFooter>&amp;L&amp;8&amp;D&amp;R&amp;8&amp;F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125B-6534-4D98-9410-01FA5D3D87F6}">
  <sheetPr>
    <tabColor rgb="FFFFC000"/>
    <pageSetUpPr fitToPage="1"/>
  </sheetPr>
  <dimension ref="A1:E19"/>
  <sheetViews>
    <sheetView zoomScaleNormal="100" workbookViewId="0">
      <selection activeCell="E2" sqref="E2"/>
    </sheetView>
  </sheetViews>
  <sheetFormatPr defaultColWidth="8.85546875" defaultRowHeight="15" x14ac:dyDescent="0.25"/>
  <cols>
    <col min="1" max="1" width="26.28515625" style="2" customWidth="1"/>
    <col min="2" max="2" width="14" style="1" bestFit="1" customWidth="1"/>
    <col min="3" max="3" width="14.28515625" style="1" customWidth="1"/>
    <col min="4" max="4" width="14.5703125" style="1" customWidth="1"/>
    <col min="5" max="5" width="15" style="1" customWidth="1"/>
    <col min="6" max="17" width="14" style="2" customWidth="1"/>
    <col min="18" max="16384" width="8.85546875" style="2"/>
  </cols>
  <sheetData>
    <row r="1" spans="1:5" ht="25.9" customHeight="1" x14ac:dyDescent="0.3">
      <c r="A1" s="4"/>
    </row>
    <row r="2" spans="1:5" ht="25.9" customHeight="1" x14ac:dyDescent="0.3">
      <c r="A2" s="4"/>
      <c r="E2" s="12" t="str">
        <f>+'Attachment A - Base'!L3</f>
        <v>BPA #23-01</v>
      </c>
    </row>
    <row r="3" spans="1:5" ht="18.75" customHeight="1" x14ac:dyDescent="0.3">
      <c r="A3" s="4" t="s">
        <v>180</v>
      </c>
    </row>
    <row r="4" spans="1:5" ht="20.100000000000001" customHeight="1" x14ac:dyDescent="0.25">
      <c r="A4" s="46">
        <f>+'Attachment A - Base'!A4</f>
        <v>45170</v>
      </c>
    </row>
    <row r="5" spans="1:5" x14ac:dyDescent="0.25">
      <c r="B5" s="93"/>
      <c r="C5" s="93"/>
      <c r="D5" s="93"/>
      <c r="E5" s="93"/>
    </row>
    <row r="6" spans="1:5" x14ac:dyDescent="0.25">
      <c r="E6" s="49"/>
    </row>
    <row r="7" spans="1:5" ht="15.75" thickBot="1" x14ac:dyDescent="0.3">
      <c r="A7" s="8"/>
      <c r="B7" s="9"/>
      <c r="C7" s="9"/>
      <c r="D7" s="9"/>
      <c r="E7" s="50"/>
    </row>
    <row r="8" spans="1:5" ht="19.149999999999999" customHeight="1" x14ac:dyDescent="0.25">
      <c r="A8" s="36"/>
      <c r="B8" s="40"/>
      <c r="C8" s="40"/>
      <c r="D8" s="37"/>
      <c r="E8" s="51"/>
    </row>
    <row r="9" spans="1:5" ht="19.149999999999999" customHeight="1" x14ac:dyDescent="0.25">
      <c r="A9" s="2" t="s">
        <v>21</v>
      </c>
      <c r="B9" s="17"/>
      <c r="C9" s="17"/>
      <c r="D9" s="17"/>
      <c r="E9" s="52"/>
    </row>
    <row r="10" spans="1:5" ht="19.149999999999999" customHeight="1" x14ac:dyDescent="0.25">
      <c r="A10" s="2" t="s">
        <v>22</v>
      </c>
      <c r="B10" s="17"/>
      <c r="C10" s="17"/>
      <c r="D10" s="17"/>
      <c r="E10" s="52"/>
    </row>
    <row r="11" spans="1:5" ht="19.149999999999999" customHeight="1" x14ac:dyDescent="0.25">
      <c r="A11" s="2" t="s">
        <v>23</v>
      </c>
      <c r="B11" s="17"/>
      <c r="C11" s="17"/>
      <c r="D11" s="17"/>
      <c r="E11" s="52"/>
    </row>
    <row r="12" spans="1:5" ht="19.149999999999999" customHeight="1" x14ac:dyDescent="0.25">
      <c r="A12" s="2" t="s">
        <v>24</v>
      </c>
      <c r="B12" s="17"/>
      <c r="C12" s="17"/>
      <c r="D12" s="17"/>
      <c r="E12" s="52"/>
    </row>
    <row r="13" spans="1:5" ht="19.149999999999999" customHeight="1" x14ac:dyDescent="0.25">
      <c r="A13" s="2" t="s">
        <v>25</v>
      </c>
      <c r="B13" s="17"/>
      <c r="C13" s="17"/>
      <c r="D13" s="17"/>
      <c r="E13" s="52"/>
    </row>
    <row r="14" spans="1:5" ht="19.149999999999999" customHeight="1" x14ac:dyDescent="0.25">
      <c r="A14" s="2" t="s">
        <v>26</v>
      </c>
      <c r="B14" s="17"/>
      <c r="C14" s="17"/>
      <c r="D14" s="17"/>
      <c r="E14" s="52"/>
    </row>
    <row r="15" spans="1:5" ht="19.149999999999999" customHeight="1" x14ac:dyDescent="0.25">
      <c r="A15" s="24" t="s">
        <v>27</v>
      </c>
      <c r="B15" s="19">
        <f t="shared" ref="B15:E15" si="0">SUM(B9:B14)</f>
        <v>0</v>
      </c>
      <c r="C15" s="19">
        <f t="shared" si="0"/>
        <v>0</v>
      </c>
      <c r="D15" s="19">
        <f t="shared" si="0"/>
        <v>0</v>
      </c>
      <c r="E15" s="53">
        <f t="shared" si="0"/>
        <v>0</v>
      </c>
    </row>
    <row r="16" spans="1:5" ht="19.149999999999999" customHeight="1" x14ac:dyDescent="0.25">
      <c r="A16" s="2" t="s">
        <v>28</v>
      </c>
      <c r="B16" s="48"/>
      <c r="D16" s="17"/>
      <c r="E16" s="52"/>
    </row>
    <row r="17" spans="1:5" ht="19.149999999999999" customHeight="1" x14ac:dyDescent="0.25">
      <c r="A17" s="2" t="s">
        <v>29</v>
      </c>
      <c r="B17" s="17"/>
      <c r="C17" s="17"/>
      <c r="D17" s="17"/>
      <c r="E17" s="52"/>
    </row>
    <row r="18" spans="1:5" ht="15" customHeight="1" thickBot="1" x14ac:dyDescent="0.3">
      <c r="A18" s="26" t="s">
        <v>30</v>
      </c>
      <c r="B18" s="28">
        <f t="shared" ref="B18:E18" si="1">SUM(B15:B17)</f>
        <v>0</v>
      </c>
      <c r="C18" s="28">
        <f t="shared" si="1"/>
        <v>0</v>
      </c>
      <c r="D18" s="28">
        <f t="shared" si="1"/>
        <v>0</v>
      </c>
      <c r="E18" s="54">
        <f t="shared" si="1"/>
        <v>0</v>
      </c>
    </row>
    <row r="19" spans="1:5" ht="15" customHeight="1" x14ac:dyDescent="0.25">
      <c r="A19" s="29"/>
      <c r="B19" s="29"/>
      <c r="C19" s="30"/>
      <c r="D19" s="30"/>
      <c r="E19" s="30"/>
    </row>
  </sheetData>
  <mergeCells count="1">
    <mergeCell ref="B5:E5"/>
  </mergeCells>
  <printOptions horizontalCentered="1"/>
  <pageMargins left="0.75" right="0.75" top="0.5" bottom="0.5" header="0.3" footer="0.3"/>
  <pageSetup orientation="landscape" r:id="rId1"/>
  <headerFooter>
    <oddFooter>&amp;L&amp;8&amp;D&amp;R&amp;8&amp;F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51EC4-96A8-45F3-86DE-924519BE3557}">
  <dimension ref="A1:J30"/>
  <sheetViews>
    <sheetView workbookViewId="0">
      <selection activeCell="N20" sqref="N20"/>
    </sheetView>
  </sheetViews>
  <sheetFormatPr defaultRowHeight="15" x14ac:dyDescent="0.25"/>
  <cols>
    <col min="1" max="1" width="34.28515625" customWidth="1"/>
    <col min="2" max="8" width="11.28515625" customWidth="1"/>
    <col min="9" max="9" width="12.7109375" customWidth="1"/>
    <col min="10" max="10" width="10" bestFit="1" customWidth="1"/>
  </cols>
  <sheetData>
    <row r="1" spans="1:10" x14ac:dyDescent="0.25">
      <c r="A1" s="86" t="s">
        <v>181</v>
      </c>
    </row>
    <row r="2" spans="1:10" s="83" customFormat="1" x14ac:dyDescent="0.25">
      <c r="B2" s="9" t="s">
        <v>182</v>
      </c>
      <c r="C2" s="83" t="s">
        <v>55</v>
      </c>
      <c r="D2" s="83" t="s">
        <v>187</v>
      </c>
      <c r="E2" s="83" t="s">
        <v>184</v>
      </c>
      <c r="F2" s="83" t="s">
        <v>189</v>
      </c>
      <c r="G2" s="83" t="s">
        <v>191</v>
      </c>
      <c r="H2" s="83" t="s">
        <v>193</v>
      </c>
      <c r="I2" s="83" t="s">
        <v>195</v>
      </c>
      <c r="J2" s="83" t="s">
        <v>186</v>
      </c>
    </row>
    <row r="3" spans="1:10" s="83" customFormat="1" ht="15.75" thickBot="1" x14ac:dyDescent="0.3">
      <c r="A3" s="9"/>
      <c r="B3" s="83" t="s">
        <v>183</v>
      </c>
      <c r="C3" s="83" t="s">
        <v>183</v>
      </c>
      <c r="D3" s="83" t="s">
        <v>188</v>
      </c>
      <c r="E3" s="83" t="s">
        <v>185</v>
      </c>
      <c r="F3" s="83" t="s">
        <v>190</v>
      </c>
      <c r="G3" s="83" t="s">
        <v>192</v>
      </c>
      <c r="H3" s="83" t="s">
        <v>194</v>
      </c>
      <c r="I3" s="83" t="s">
        <v>196</v>
      </c>
    </row>
    <row r="4" spans="1:10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</row>
    <row r="5" spans="1:10" x14ac:dyDescent="0.25">
      <c r="A5" s="2" t="s">
        <v>21</v>
      </c>
      <c r="B5" s="2">
        <f>4090312+133769</f>
        <v>4224081</v>
      </c>
      <c r="C5" s="2"/>
      <c r="D5" s="2"/>
      <c r="E5" s="2">
        <v>-30000</v>
      </c>
      <c r="F5" s="2"/>
      <c r="G5" s="2"/>
      <c r="H5" s="2"/>
      <c r="I5" s="2"/>
      <c r="J5" s="2">
        <f t="shared" ref="J5:J10" si="0">SUM(B5:I5)</f>
        <v>4194081</v>
      </c>
    </row>
    <row r="6" spans="1:10" x14ac:dyDescent="0.25">
      <c r="A6" s="2" t="s">
        <v>22</v>
      </c>
      <c r="B6" s="2"/>
      <c r="C6" s="2"/>
      <c r="D6" s="2"/>
      <c r="E6" s="2"/>
      <c r="F6" s="2"/>
      <c r="G6" s="2"/>
      <c r="H6" s="2"/>
      <c r="I6" s="2"/>
      <c r="J6" s="2">
        <f t="shared" si="0"/>
        <v>0</v>
      </c>
    </row>
    <row r="7" spans="1:10" x14ac:dyDescent="0.25">
      <c r="A7" s="2" t="s">
        <v>23</v>
      </c>
      <c r="B7" s="2">
        <f>-4090312-133769</f>
        <v>-4224081</v>
      </c>
      <c r="C7" s="2">
        <v>992868</v>
      </c>
      <c r="D7" s="2">
        <v>1812</v>
      </c>
      <c r="E7" s="2">
        <f>30000-30000</f>
        <v>0</v>
      </c>
      <c r="F7" s="2">
        <v>-75796</v>
      </c>
      <c r="G7" s="2"/>
      <c r="H7" s="2"/>
      <c r="I7" s="2"/>
      <c r="J7" s="2">
        <f t="shared" si="0"/>
        <v>-3305197</v>
      </c>
    </row>
    <row r="8" spans="1:10" x14ac:dyDescent="0.25">
      <c r="A8" s="2" t="s">
        <v>24</v>
      </c>
      <c r="B8" s="2"/>
      <c r="C8" s="2"/>
      <c r="D8" s="2"/>
      <c r="E8" s="2"/>
      <c r="F8" s="2"/>
      <c r="G8" s="2"/>
      <c r="H8" s="2"/>
      <c r="I8" s="2"/>
      <c r="J8" s="2">
        <f t="shared" si="0"/>
        <v>0</v>
      </c>
    </row>
    <row r="9" spans="1:10" x14ac:dyDescent="0.25">
      <c r="A9" s="2" t="s">
        <v>25</v>
      </c>
      <c r="B9" s="2"/>
      <c r="C9" s="2"/>
      <c r="D9" s="2"/>
      <c r="E9" s="2"/>
      <c r="F9" s="2"/>
      <c r="G9" s="2"/>
      <c r="H9" s="2"/>
      <c r="I9" s="2"/>
      <c r="J9" s="2">
        <f t="shared" si="0"/>
        <v>0</v>
      </c>
    </row>
    <row r="10" spans="1:10" x14ac:dyDescent="0.25">
      <c r="A10" s="2" t="s">
        <v>26</v>
      </c>
      <c r="B10" s="2"/>
      <c r="C10" s="2"/>
      <c r="D10" s="2"/>
      <c r="E10" s="2"/>
      <c r="F10" s="2"/>
      <c r="G10" s="2"/>
      <c r="H10" s="2"/>
      <c r="I10" s="2"/>
      <c r="J10" s="2">
        <f t="shared" si="0"/>
        <v>0</v>
      </c>
    </row>
    <row r="11" spans="1:10" x14ac:dyDescent="0.25">
      <c r="A11" s="24" t="s">
        <v>27</v>
      </c>
      <c r="B11" s="24">
        <f>SUM(B5:B10)</f>
        <v>0</v>
      </c>
      <c r="C11" s="24">
        <f t="shared" ref="C11:J11" si="1">SUM(C5:C10)</f>
        <v>992868</v>
      </c>
      <c r="D11" s="24">
        <f t="shared" si="1"/>
        <v>1812</v>
      </c>
      <c r="E11" s="24">
        <f t="shared" si="1"/>
        <v>-30000</v>
      </c>
      <c r="F11" s="24">
        <f t="shared" si="1"/>
        <v>-75796</v>
      </c>
      <c r="G11" s="24">
        <f t="shared" si="1"/>
        <v>0</v>
      </c>
      <c r="H11" s="24">
        <f t="shared" si="1"/>
        <v>0</v>
      </c>
      <c r="I11" s="24">
        <f t="shared" si="1"/>
        <v>0</v>
      </c>
      <c r="J11" s="24">
        <f t="shared" si="1"/>
        <v>888884</v>
      </c>
    </row>
    <row r="12" spans="1:10" x14ac:dyDescent="0.25">
      <c r="A12" s="2" t="s">
        <v>28</v>
      </c>
      <c r="B12" s="2"/>
      <c r="C12" s="2"/>
      <c r="D12" s="2"/>
      <c r="E12" s="2"/>
      <c r="F12" s="2"/>
      <c r="G12" s="2"/>
      <c r="H12" s="2"/>
      <c r="I12" s="2"/>
      <c r="J12" s="2">
        <f>SUM(B12:I12)</f>
        <v>0</v>
      </c>
    </row>
    <row r="13" spans="1:10" x14ac:dyDescent="0.25">
      <c r="A13" s="2" t="s">
        <v>29</v>
      </c>
      <c r="B13" s="2"/>
      <c r="C13" s="2">
        <v>-992868</v>
      </c>
      <c r="D13" s="2">
        <v>-1812</v>
      </c>
      <c r="E13" s="2">
        <v>30000</v>
      </c>
      <c r="F13" s="2">
        <v>75796</v>
      </c>
      <c r="G13" s="2">
        <f>593547-593547</f>
        <v>0</v>
      </c>
      <c r="H13" s="2">
        <f>18665-18665</f>
        <v>0</v>
      </c>
      <c r="I13" s="2">
        <v>-790313</v>
      </c>
      <c r="J13" s="2">
        <f>SUM(B13:I13)</f>
        <v>-1679197</v>
      </c>
    </row>
    <row r="14" spans="1:10" ht="15.75" thickBot="1" x14ac:dyDescent="0.3">
      <c r="A14" s="26" t="s">
        <v>30</v>
      </c>
      <c r="B14" s="85">
        <f t="shared" ref="B14:J14" si="2">SUM(B11:B13)</f>
        <v>0</v>
      </c>
      <c r="C14" s="26">
        <f t="shared" si="2"/>
        <v>0</v>
      </c>
      <c r="D14" s="85">
        <f t="shared" si="2"/>
        <v>0</v>
      </c>
      <c r="E14" s="85">
        <f t="shared" si="2"/>
        <v>0</v>
      </c>
      <c r="F14" s="85">
        <f t="shared" si="2"/>
        <v>0</v>
      </c>
      <c r="G14" s="85">
        <f t="shared" si="2"/>
        <v>0</v>
      </c>
      <c r="H14" s="85">
        <f t="shared" si="2"/>
        <v>0</v>
      </c>
      <c r="I14" s="85">
        <f t="shared" si="2"/>
        <v>-790313</v>
      </c>
      <c r="J14" s="26">
        <f t="shared" si="2"/>
        <v>-790313</v>
      </c>
    </row>
    <row r="16" spans="1:10" x14ac:dyDescent="0.25">
      <c r="A16" t="s">
        <v>197</v>
      </c>
      <c r="B16" t="s">
        <v>198</v>
      </c>
      <c r="C16" t="s">
        <v>199</v>
      </c>
      <c r="D16" t="s">
        <v>200</v>
      </c>
      <c r="E16" t="s">
        <v>200</v>
      </c>
      <c r="F16" t="s">
        <v>200</v>
      </c>
      <c r="G16" t="s">
        <v>200</v>
      </c>
      <c r="H16" t="s">
        <v>200</v>
      </c>
    </row>
    <row r="17" spans="1:9" x14ac:dyDescent="0.25">
      <c r="A17" s="84"/>
    </row>
    <row r="20" spans="1:9" x14ac:dyDescent="0.25">
      <c r="B20" s="78" t="s">
        <v>5</v>
      </c>
      <c r="C20" s="78" t="s">
        <v>6</v>
      </c>
      <c r="D20" s="78" t="s">
        <v>6</v>
      </c>
      <c r="E20" s="78" t="s">
        <v>5</v>
      </c>
      <c r="F20" s="78" t="s">
        <v>6</v>
      </c>
      <c r="G20" s="78" t="s">
        <v>6</v>
      </c>
      <c r="H20" s="78" t="s">
        <v>6</v>
      </c>
    </row>
    <row r="21" spans="1:9" x14ac:dyDescent="0.25">
      <c r="B21" s="78" t="s">
        <v>201</v>
      </c>
      <c r="C21" s="78" t="s">
        <v>202</v>
      </c>
      <c r="D21" s="78" t="s">
        <v>203</v>
      </c>
      <c r="E21" s="78" t="s">
        <v>204</v>
      </c>
      <c r="F21" s="78" t="s">
        <v>205</v>
      </c>
      <c r="G21" s="78" t="s">
        <v>4</v>
      </c>
      <c r="H21" s="78" t="s">
        <v>215</v>
      </c>
      <c r="I21" s="78" t="s">
        <v>186</v>
      </c>
    </row>
    <row r="22" spans="1:9" x14ac:dyDescent="0.25">
      <c r="A22" t="s">
        <v>208</v>
      </c>
      <c r="B22" s="2">
        <v>168853796</v>
      </c>
      <c r="C22" s="2">
        <f>1812-75796</f>
        <v>-73984</v>
      </c>
      <c r="D22" s="2">
        <f>-61527+430255</f>
        <v>368728</v>
      </c>
      <c r="E22" s="2">
        <v>13193386</v>
      </c>
      <c r="F22" s="2">
        <v>3183973</v>
      </c>
      <c r="G22" s="80">
        <v>10140238</v>
      </c>
      <c r="H22" s="80"/>
      <c r="I22" s="2">
        <f>SUM(B22:H22)</f>
        <v>195666137</v>
      </c>
    </row>
    <row r="23" spans="1:9" x14ac:dyDescent="0.25">
      <c r="A23" t="s">
        <v>209</v>
      </c>
      <c r="B23" s="2">
        <v>89220277</v>
      </c>
      <c r="C23" s="2">
        <f>593547+18665</f>
        <v>612212</v>
      </c>
      <c r="D23" s="2">
        <f>61527+240943</f>
        <v>302470</v>
      </c>
      <c r="E23" s="2">
        <v>7371649</v>
      </c>
      <c r="F23" s="2">
        <v>449241</v>
      </c>
      <c r="G23" s="80">
        <v>1432470</v>
      </c>
      <c r="H23" s="80"/>
      <c r="I23" s="2">
        <f t="shared" ref="I23:I28" si="3">SUM(B23:H23)</f>
        <v>99388319</v>
      </c>
    </row>
    <row r="24" spans="1:9" x14ac:dyDescent="0.25">
      <c r="A24" t="s">
        <v>210</v>
      </c>
      <c r="B24" s="2">
        <v>9335780</v>
      </c>
      <c r="C24" s="2">
        <f>500000-30000</f>
        <v>470000</v>
      </c>
      <c r="D24" s="2"/>
      <c r="E24" s="2">
        <v>4799393</v>
      </c>
      <c r="F24" s="2">
        <v>-913214</v>
      </c>
      <c r="G24" s="80">
        <v>10278723</v>
      </c>
      <c r="H24" s="80"/>
      <c r="I24" s="2">
        <f t="shared" si="3"/>
        <v>23970682</v>
      </c>
    </row>
    <row r="25" spans="1:9" x14ac:dyDescent="0.25">
      <c r="A25" t="s">
        <v>211</v>
      </c>
      <c r="B25" s="2">
        <v>12738991</v>
      </c>
      <c r="C25" s="2">
        <v>-500000</v>
      </c>
      <c r="D25" s="2"/>
      <c r="E25" s="2">
        <v>0</v>
      </c>
      <c r="F25" s="2"/>
      <c r="G25" s="80"/>
      <c r="H25" s="80"/>
      <c r="I25" s="2">
        <f t="shared" si="3"/>
        <v>12238991</v>
      </c>
    </row>
    <row r="26" spans="1:9" x14ac:dyDescent="0.25">
      <c r="A26" t="s">
        <v>212</v>
      </c>
      <c r="B26" s="2">
        <v>862409</v>
      </c>
      <c r="C26" s="2"/>
      <c r="D26" s="2"/>
      <c r="E26" s="2">
        <v>39310500</v>
      </c>
      <c r="F26" s="2">
        <v>-462000</v>
      </c>
      <c r="G26" s="80"/>
      <c r="H26" s="80"/>
      <c r="I26" s="2">
        <f t="shared" si="3"/>
        <v>39710909</v>
      </c>
    </row>
    <row r="27" spans="1:9" x14ac:dyDescent="0.25">
      <c r="A27" t="s">
        <v>213</v>
      </c>
      <c r="B27" s="2">
        <v>3725324</v>
      </c>
      <c r="C27" s="2">
        <f>-1812+75796+30000-593547-18665-790313</f>
        <v>-1298541</v>
      </c>
      <c r="D27" s="2"/>
      <c r="E27" s="2">
        <v>0</v>
      </c>
      <c r="F27" s="2"/>
      <c r="G27" s="80">
        <v>548062</v>
      </c>
      <c r="H27" s="80">
        <v>1734930</v>
      </c>
      <c r="I27" s="2">
        <f t="shared" si="3"/>
        <v>4709775</v>
      </c>
    </row>
    <row r="28" spans="1:9" x14ac:dyDescent="0.25">
      <c r="A28" t="s">
        <v>214</v>
      </c>
      <c r="B28" s="2">
        <v>0</v>
      </c>
      <c r="C28" s="2">
        <v>0</v>
      </c>
      <c r="D28" s="2"/>
      <c r="E28" s="2">
        <v>0</v>
      </c>
      <c r="F28" s="2"/>
      <c r="G28" s="80"/>
      <c r="H28" s="80"/>
      <c r="I28" s="2">
        <f t="shared" si="3"/>
        <v>0</v>
      </c>
    </row>
    <row r="29" spans="1:9" x14ac:dyDescent="0.25">
      <c r="B29" s="87">
        <f>SUM(B22:B28)</f>
        <v>284736577</v>
      </c>
      <c r="C29" s="87">
        <f t="shared" ref="C29:D29" si="4">SUM(C22:C28)</f>
        <v>-790313</v>
      </c>
      <c r="D29" s="87">
        <f t="shared" si="4"/>
        <v>671198</v>
      </c>
      <c r="E29" s="87">
        <f>SUM(E22:E28)</f>
        <v>64674928</v>
      </c>
      <c r="F29" s="87">
        <f>SUM(F22:F28)</f>
        <v>2258000</v>
      </c>
      <c r="G29" s="87">
        <f>SUM(G22:G28)</f>
        <v>22399493</v>
      </c>
      <c r="H29" s="87">
        <f>SUM(H22:H28)</f>
        <v>1734930</v>
      </c>
      <c r="I29" s="87">
        <f>SUM(I22:I28)</f>
        <v>375684813</v>
      </c>
    </row>
    <row r="30" spans="1:9" x14ac:dyDescent="0.25">
      <c r="B30" t="s">
        <v>206</v>
      </c>
      <c r="E30" t="s">
        <v>207</v>
      </c>
      <c r="G30" s="78" t="s">
        <v>6</v>
      </c>
      <c r="H30" s="7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24FE98A5794489482F1EED8BB33FE" ma:contentTypeVersion="17" ma:contentTypeDescription="Create a new document." ma:contentTypeScope="" ma:versionID="b2900fe496e0c8b28ddd4c4631f93ca9">
  <xsd:schema xmlns:xsd="http://www.w3.org/2001/XMLSchema" xmlns:xs="http://www.w3.org/2001/XMLSchema" xmlns:p="http://schemas.microsoft.com/office/2006/metadata/properties" xmlns:ns2="e15b9e73-c977-4054-98ab-a31a3fb0ba9e" xmlns:ns3="8bbe2326-318d-4a6a-b4f2-fe4330988081" targetNamespace="http://schemas.microsoft.com/office/2006/metadata/properties" ma:root="true" ma:fieldsID="63df6292bc22d007172f50ec8b6bb721" ns2:_="" ns3:_="">
    <xsd:import namespace="e15b9e73-c977-4054-98ab-a31a3fb0ba9e"/>
    <xsd:import namespace="8bbe2326-318d-4a6a-b4f2-fe43309880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b9e73-c977-4054-98ab-a31a3fb0b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a4fd07-bb52-4003-87b7-be4870537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e2326-318d-4a6a-b4f2-fe4330988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4eed02-18ea-4b50-ab8c-d324e9bdf24e}" ma:internalName="TaxCatchAll" ma:showField="CatchAllData" ma:web="8bbe2326-318d-4a6a-b4f2-fe43309880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be2326-318d-4a6a-b4f2-fe4330988081" xsi:nil="true"/>
    <lcf76f155ced4ddcb4097134ff3c332f xmlns="e15b9e73-c977-4054-98ab-a31a3fb0ba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869687-58FF-41F3-A882-1378BB9AA6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742485-BC6D-4373-86E0-ED0C6D99B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b9e73-c977-4054-98ab-a31a3fb0ba9e"/>
    <ds:schemaRef ds:uri="8bbe2326-318d-4a6a-b4f2-fe43309880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F49517-401C-42BA-9031-46B044F7B53F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8bbe2326-318d-4a6a-b4f2-fe4330988081"/>
    <ds:schemaRef ds:uri="http://www.w3.org/XML/1998/namespace"/>
    <ds:schemaRef ds:uri="http://purl.org/dc/dcmitype/"/>
    <ds:schemaRef ds:uri="http://schemas.openxmlformats.org/package/2006/metadata/core-properties"/>
    <ds:schemaRef ds:uri="e15b9e73-c977-4054-98ab-a31a3fb0ba9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Attachment A - Base</vt:lpstr>
      <vt:lpstr>Attachment B - IRP</vt:lpstr>
      <vt:lpstr>Attachment C - Desig</vt:lpstr>
      <vt:lpstr>Attachment D - Fees</vt:lpstr>
      <vt:lpstr>Attachment E - Lottery</vt:lpstr>
      <vt:lpstr>Attachment F - Financial Aid</vt:lpstr>
      <vt:lpstr>Base Adj</vt:lpstr>
      <vt:lpstr>'Attachment A - Base'!Print_Area</vt:lpstr>
      <vt:lpstr>'Attachment B - IRP'!Print_Area</vt:lpstr>
      <vt:lpstr>'Attachment C - Desig'!Print_Area</vt:lpstr>
      <vt:lpstr>'Attachment D - Fees'!Print_Area</vt:lpstr>
      <vt:lpstr>'Attachment E - Lottery'!Print_Area</vt:lpstr>
      <vt:lpstr>'Attachment F - Financial Aid'!Print_Area</vt:lpstr>
      <vt:lpstr>'Attachment C - Desig'!Print_Titles</vt:lpstr>
      <vt:lpstr>'Attachment D - Fees'!Print_Titles</vt:lpstr>
    </vt:vector>
  </TitlesOfParts>
  <Manager/>
  <Company>Cal Poly Pomona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Lee</dc:creator>
  <cp:keywords/>
  <dc:description/>
  <cp:lastModifiedBy>Sebastian Velasquez</cp:lastModifiedBy>
  <cp:revision/>
  <dcterms:created xsi:type="dcterms:W3CDTF">2023-04-10T21:39:14Z</dcterms:created>
  <dcterms:modified xsi:type="dcterms:W3CDTF">2025-11-20T19:23:58Z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0x010100FEF24FE98A5794489482F1EED8BB33FE</vt:lpwstr>
  </property>
  <property fmtid="{D5CDD505-2E9C-101B-9397-08002B2CF9AE}" pid="3" name="MediaServiceImageTags">
    <vt:lpwstr/>
  </property>
</Properties>
</file>