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ocumenttasks/documenttask3.xml" ContentType="application/vnd.ms-excel.documenttasks+xml"/>
  <Override PartName="/xl/drawings/drawing5.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ocumenttasks/documenttask4.xml" ContentType="application/vnd.ms-excel.documenttask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tfsaa.ad.cpp.edu\departments\budget\Sebastian\Accessible Documents\FY2023-24\"/>
    </mc:Choice>
  </mc:AlternateContent>
  <xr:revisionPtr revIDLastSave="0" documentId="14_{6CE74414-B68C-4FA6-9156-A227714707FF}" xr6:coauthVersionLast="47" xr6:coauthVersionMax="47" xr10:uidLastSave="{00000000-0000-0000-0000-000000000000}"/>
  <bookViews>
    <workbookView xWindow="-28920" yWindow="-120" windowWidth="29040" windowHeight="15720" firstSheet="1" activeTab="4" xr2:uid="{897908BC-29D7-4D4A-B738-2A2BC99E4C3E}"/>
  </bookViews>
  <sheets>
    <sheet name="Attachment A - Undesig" sheetId="1" r:id="rId1"/>
    <sheet name="Attachment B - Desig" sheetId="4" r:id="rId2"/>
    <sheet name="Attachment C - Fees" sheetId="5" r:id="rId3"/>
    <sheet name="Attachment D - PCR" sheetId="9" r:id="rId4"/>
    <sheet name="Attachment E - Lottery" sheetId="8" r:id="rId5"/>
    <sheet name="Attachment F - Financial Aid" sheetId="6" state="hidden" r:id="rId6"/>
  </sheets>
  <definedNames>
    <definedName name="_xlnm.Print_Area" localSheetId="0">'Attachment A - Undesig'!$A$1:$O$43</definedName>
    <definedName name="_xlnm.Print_Area" localSheetId="1">'Attachment B - Desig'!$A$1:$H$75</definedName>
    <definedName name="_xlnm.Print_Area" localSheetId="2">'Attachment C - Fees'!$A$1:$K$111</definedName>
    <definedName name="_xlnm.Print_Area" localSheetId="3">'Attachment D - PCR'!$A$1:$J$27</definedName>
    <definedName name="_xlnm.Print_Area" localSheetId="4">'Attachment E - Lottery'!$A$1:$E$22</definedName>
    <definedName name="_xlnm.Print_Area" localSheetId="5">'Attachment F - Financial Aid'!$A$1:$E$19</definedName>
    <definedName name="_xlnm.Print_Titles" localSheetId="1">'Attachment B - Desig'!$1:$4</definedName>
    <definedName name="_xlnm.Print_Titles" localSheetId="2">'Attachment C - Fees'!$1:$4</definedName>
    <definedName name="_xlnm.Print_Titles" localSheetId="3">'Attachment D - PCR'!$1:$4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9" l="1"/>
  <c r="G110" i="5"/>
  <c r="G107" i="5"/>
  <c r="F111" i="5"/>
  <c r="J14" i="1"/>
  <c r="N14" i="1" s="1"/>
  <c r="J11" i="1"/>
  <c r="K11" i="1"/>
  <c r="N11" i="1" s="1"/>
  <c r="N19" i="1"/>
  <c r="N18" i="1"/>
  <c r="N17" i="1"/>
  <c r="N15" i="1"/>
  <c r="N13" i="1"/>
  <c r="N12" i="1"/>
  <c r="N10" i="1"/>
  <c r="I19" i="1"/>
  <c r="I18" i="1"/>
  <c r="I17" i="1"/>
  <c r="I15" i="1"/>
  <c r="I13" i="1"/>
  <c r="O13" i="1" s="1"/>
  <c r="I12" i="1"/>
  <c r="I10" i="1"/>
  <c r="E19" i="1"/>
  <c r="E18" i="1"/>
  <c r="E17" i="1"/>
  <c r="E15" i="1"/>
  <c r="E13" i="1"/>
  <c r="E12" i="1"/>
  <c r="E11" i="1"/>
  <c r="E10" i="1"/>
  <c r="H16" i="1"/>
  <c r="H20" i="1" s="1"/>
  <c r="D16" i="1"/>
  <c r="D20" i="1" s="1"/>
  <c r="F10" i="4"/>
  <c r="F9" i="4"/>
  <c r="F73" i="4"/>
  <c r="E73" i="4"/>
  <c r="D73" i="4"/>
  <c r="C73" i="4"/>
  <c r="B73" i="4"/>
  <c r="G72" i="4"/>
  <c r="G71" i="4"/>
  <c r="G70" i="4"/>
  <c r="G69" i="4"/>
  <c r="D17" i="5"/>
  <c r="D10" i="5"/>
  <c r="D18" i="5"/>
  <c r="D13" i="5"/>
  <c r="B18" i="5"/>
  <c r="B12" i="5"/>
  <c r="B10" i="5"/>
  <c r="O15" i="1" l="1"/>
  <c r="O17" i="1"/>
  <c r="O12" i="1"/>
  <c r="O18" i="1"/>
  <c r="O19" i="1"/>
  <c r="G73" i="4"/>
  <c r="G59" i="4"/>
  <c r="G58" i="4"/>
  <c r="G50" i="4"/>
  <c r="G49" i="4"/>
  <c r="G48" i="4"/>
  <c r="G47" i="4"/>
  <c r="G46" i="4"/>
  <c r="G45" i="4"/>
  <c r="G44" i="4"/>
  <c r="G42" i="4"/>
  <c r="G40" i="4"/>
  <c r="E52" i="4"/>
  <c r="F17" i="9" l="1"/>
  <c r="G36" i="4"/>
  <c r="B17" i="8"/>
  <c r="E17" i="8" s="1"/>
  <c r="E10" i="8"/>
  <c r="E11" i="8"/>
  <c r="E12" i="8"/>
  <c r="E13" i="8"/>
  <c r="E14" i="8"/>
  <c r="E9" i="8"/>
  <c r="D15" i="8"/>
  <c r="D18" i="8" s="1"/>
  <c r="C15" i="8"/>
  <c r="C18" i="8" s="1"/>
  <c r="B17" i="9" l="1"/>
  <c r="B18" i="9" s="1"/>
  <c r="D17" i="9"/>
  <c r="H18" i="9"/>
  <c r="J17" i="9" l="1"/>
  <c r="B15" i="9"/>
  <c r="C15" i="9"/>
  <c r="D15" i="9"/>
  <c r="E15" i="9"/>
  <c r="F15" i="9"/>
  <c r="G15" i="9"/>
  <c r="I15" i="9"/>
  <c r="J16" i="9" l="1"/>
  <c r="E18" i="9"/>
  <c r="C18" i="9"/>
  <c r="J14" i="9"/>
  <c r="J13" i="9"/>
  <c r="J12" i="9"/>
  <c r="J11" i="9"/>
  <c r="I18" i="9"/>
  <c r="G18" i="9"/>
  <c r="F18" i="9"/>
  <c r="D18" i="9"/>
  <c r="J9" i="9"/>
  <c r="A4" i="9"/>
  <c r="J3" i="9"/>
  <c r="J10" i="9" l="1"/>
  <c r="J15" i="9" s="1"/>
  <c r="J18" i="9" s="1"/>
  <c r="J17" i="5"/>
  <c r="I17" i="5"/>
  <c r="H17" i="5"/>
  <c r="G17" i="5"/>
  <c r="F17" i="5"/>
  <c r="J15" i="5"/>
  <c r="B13" i="5"/>
  <c r="K19" i="5"/>
  <c r="K18" i="5"/>
  <c r="K16" i="1"/>
  <c r="I10" i="5"/>
  <c r="H10" i="5"/>
  <c r="G10" i="5"/>
  <c r="G106" i="5"/>
  <c r="F14" i="5"/>
  <c r="F15" i="5" s="1"/>
  <c r="E111" i="5"/>
  <c r="J20" i="5" l="1"/>
  <c r="K17" i="5"/>
  <c r="K20" i="1"/>
  <c r="F20" i="5"/>
  <c r="M16" i="1"/>
  <c r="I15" i="5" l="1"/>
  <c r="I20" i="5" s="1"/>
  <c r="E10" i="5"/>
  <c r="G111" i="5"/>
  <c r="C13" i="5"/>
  <c r="E85" i="5"/>
  <c r="M20" i="1" l="1"/>
  <c r="J16" i="1"/>
  <c r="J20" i="1" s="1"/>
  <c r="L16" i="1"/>
  <c r="L20" i="1" s="1"/>
  <c r="E15" i="4"/>
  <c r="E18" i="4" s="1"/>
  <c r="D15" i="4"/>
  <c r="D18" i="4" s="1"/>
  <c r="N16" i="1" l="1"/>
  <c r="G14" i="1" l="1"/>
  <c r="I14" i="1" s="1"/>
  <c r="G11" i="1"/>
  <c r="I11" i="1" s="1"/>
  <c r="O11" i="1" s="1"/>
  <c r="C14" i="1"/>
  <c r="E14" i="1" s="1"/>
  <c r="O14" i="1" s="1"/>
  <c r="G16" i="1" l="1"/>
  <c r="G20" i="1" s="1"/>
  <c r="F16" i="1"/>
  <c r="F20" i="1" s="1"/>
  <c r="F60" i="4"/>
  <c r="E60" i="4"/>
  <c r="D60" i="4"/>
  <c r="C60" i="4"/>
  <c r="B60" i="4"/>
  <c r="G57" i="4"/>
  <c r="G56" i="4"/>
  <c r="G55" i="4"/>
  <c r="G54" i="4"/>
  <c r="G53" i="4"/>
  <c r="G52" i="4"/>
  <c r="G51" i="4"/>
  <c r="G43" i="4"/>
  <c r="G41" i="4"/>
  <c r="G39" i="4"/>
  <c r="G38" i="4"/>
  <c r="G37" i="4"/>
  <c r="G35" i="4"/>
  <c r="G34" i="4"/>
  <c r="G33" i="4"/>
  <c r="G32" i="4"/>
  <c r="I16" i="1" l="1"/>
  <c r="I20" i="1" s="1"/>
  <c r="K16" i="5" l="1"/>
  <c r="A4" i="8"/>
  <c r="G60" i="4" l="1"/>
  <c r="F15" i="4" l="1"/>
  <c r="F18" i="4" s="1"/>
  <c r="B15" i="8" l="1"/>
  <c r="E3" i="8"/>
  <c r="E15" i="8" l="1"/>
  <c r="E18" i="8" s="1"/>
  <c r="B18" i="8"/>
  <c r="D15" i="6"/>
  <c r="D18" i="6" s="1"/>
  <c r="C15" i="6"/>
  <c r="C18" i="6" s="1"/>
  <c r="B15" i="6"/>
  <c r="B18" i="6" s="1"/>
  <c r="E15" i="6"/>
  <c r="E18" i="6" s="1"/>
  <c r="A4" i="6"/>
  <c r="E2" i="6"/>
  <c r="C15" i="5" l="1"/>
  <c r="C20" i="5" s="1"/>
  <c r="K14" i="5"/>
  <c r="K13" i="5"/>
  <c r="K12" i="5"/>
  <c r="K11" i="5"/>
  <c r="K10" i="5"/>
  <c r="K9" i="5"/>
  <c r="K15" i="5" l="1"/>
  <c r="K20" i="5" s="1"/>
  <c r="H15" i="5"/>
  <c r="H20" i="5" s="1"/>
  <c r="G15" i="5"/>
  <c r="G20" i="5" s="1"/>
  <c r="E15" i="5"/>
  <c r="E20" i="5" s="1"/>
  <c r="D15" i="5"/>
  <c r="D20" i="5" s="1"/>
  <c r="B15" i="5"/>
  <c r="A4" i="5"/>
  <c r="K3" i="5"/>
  <c r="H16" i="4"/>
  <c r="H14" i="4"/>
  <c r="H13" i="4"/>
  <c r="H12" i="4"/>
  <c r="H11" i="4"/>
  <c r="H10" i="4"/>
  <c r="H9" i="4"/>
  <c r="H17" i="4"/>
  <c r="B20" i="5" l="1"/>
  <c r="C15" i="4"/>
  <c r="C18" i="4" s="1"/>
  <c r="B15" i="4"/>
  <c r="B18" i="4" s="1"/>
  <c r="A4" i="4"/>
  <c r="H3" i="4"/>
  <c r="G15" i="4" l="1"/>
  <c r="G18" i="4" s="1"/>
  <c r="H15" i="4"/>
  <c r="H18" i="4" s="1"/>
  <c r="C16" i="1" l="1"/>
  <c r="C20" i="1" s="1"/>
  <c r="O10" i="1" l="1"/>
  <c r="E16" i="1" l="1"/>
  <c r="B16" i="1" l="1"/>
  <c r="B20" i="1" s="1"/>
  <c r="N20" i="1" l="1"/>
  <c r="E20" i="1"/>
  <c r="O16" i="1" l="1"/>
  <c r="O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tc={3D3A4117-BFA3-453E-9F92-1A93389DD989}</author>
    <author>tc={9F11D7FE-8CB5-4210-AA58-0C61F14A23EC}</author>
    <author>tc={7EC5B6BF-41E4-4B63-99A9-F5C70FEE73A8}</author>
    <author>tc={F03847F5-9F12-4E4E-B91F-19DA272E5B38}</author>
    <author>tc={9A019C07-93E4-4009-8F89-93E97FC4D00A}</author>
  </authors>
  <commentList>
    <comment ref="E36" authorId="0" shapeId="0" xr:uid="{3D3A4117-BFA3-453E-9F92-1A93389DD989}">
      <text>
        <t>[Threaded comment]
Your version of Excel allows you to read this threaded comment; however, any edits to it will get removed if the file is opened in a newer version of Excel. Learn more: https://go.microsoft.com/fwlink/?linkid=870924
Comment:
    Moved from 00000</t>
      </text>
    </comment>
    <comment ref="D43" authorId="1" shapeId="0" xr:uid="{9F11D7FE-8CB5-4210-AA58-0C61F14A23EC}">
      <text>
        <t>[Threaded comment]
Your version of Excel allows you to read this threaded comment; however, any edits to it will get removed if the file is opened in a newer version of Excel. Learn more: https://go.microsoft.com/fwlink/?linkid=870924
Comment:
    Will need to work with the division to complete a prior year adjustment.</t>
      </text>
    </comment>
    <comment ref="E56" authorId="2" shapeId="0" xr:uid="{7EC5B6BF-41E4-4B63-99A9-F5C70FEE73A8}">
      <text>
        <t>[Threaded comment]
Your version of Excel allows you to read this threaded comment; however, any edits to it will get removed if the file is opened in a newer version of Excel. Learn more: https://go.microsoft.com/fwlink/?linkid=870924
Comment:
    This is tied to Project Rebound (IFT #21-0900). We will need to work with the department to do a prior year adjustment to move $1,109 in expenses to another Project Rebound CFS.</t>
      </text>
    </comment>
    <comment ref="E59" authorId="3" shapeId="0" xr:uid="{F03847F5-9F12-4E4E-B91F-19DA272E5B3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@Carol Lee What is the source of funding?
Reply:
    This is Renaissance Scholar.  It needs its own class code
Reply:
    C3189 already exists</t>
      </text>
    </comment>
    <comment ref="A69" authorId="4" shapeId="0" xr:uid="{9A019C07-93E4-4009-8F89-93E97FC4D00A}">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@Carol Lee Temp allocations had been made to Academic Affairs to cover the search costs for executive leadership (Deans, Provost, etc). My understanding is that President Coley approved these allocations starting in FY15/16. Starting in FY18/19, these allocations were identified as Designated, but the source of the funding did not come from the CO.
Reply:
    @Anne-Marie L. Larrabure Moving the big deficit to Undesignated doesn't help us now
Reply:
    Just sharing the background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tc={AC41CFFD-800B-4508-B59F-00283D735D7D}</author>
    <author>tc={B8F9435D-F816-4D25-9836-9659B1A875C0}</author>
    <author>tc={B697597A-020F-4D0B-84ED-7CB36D3DE3E2}</author>
    <author>tc={43E2074D-9FF0-4EBB-B86D-3F19D145473D}</author>
    <author>tc={A89A3073-98A6-4383-9AC2-DD64EB23A090}</author>
  </authors>
  <commentList>
    <comment ref="C16" authorId="0" shapeId="0" xr:uid="{AC41CFFD-800B-4508-B59F-00283D735D7D}">
      <text>
        <t>[Threaded comment]
Your version of Excel allows you to read this threaded comment; however, any edits to it will get removed if the file is opened in a newer version of Excel. Learn more: https://go.microsoft.com/fwlink/?linkid=870924
Comment:
    CFwd confirmed</t>
      </text>
    </comment>
    <comment ref="H16" authorId="1" shapeId="0" xr:uid="{B8F9435D-F816-4D25-9836-9659B1A875C0}">
      <text>
        <t>[Threaded comment]
Your version of Excel allows you to read this threaded comment; however, any edits to it will get removed if the file is opened in a newer version of Excel. Learn more: https://go.microsoft.com/fwlink/?linkid=870924
Comment:
    CFwd confirmed</t>
      </text>
    </comment>
    <comment ref="E95" authorId="2" shapeId="0" xr:uid="{B697597A-020F-4D0B-84ED-7CB36D3DE3E2}">
      <text>
        <t>[Threaded comment]
Your version of Excel allows you to read this threaded comment; however, any edits to it will get removed if the file is opened in a newer version of Excel. Learn more: https://go.microsoft.com/fwlink/?linkid=870924
Comment:
    Will need to work with the division to complete a prior year adjustment.</t>
      </text>
    </comment>
    <comment ref="E97" authorId="3" shapeId="0" xr:uid="{43E2074D-9FF0-4EBB-B86D-3F19D145473D}">
      <text>
        <t>[Threaded comment]
Your version of Excel allows you to read this threaded comment; however, any edits to it will get removed if the file is opened in a newer version of Excel. Learn more: https://go.microsoft.com/fwlink/?linkid=870924
Comment:
    Will need to work with the division to complete a prior year adjustment.</t>
      </text>
    </comment>
    <comment ref="B107" authorId="4" shapeId="0" xr:uid="{A89A3073-98A6-4383-9AC2-DD64EB23A09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@Carol Lee I believe this should be C4418 - Medical Services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tc={9463E39C-472F-4781-8351-9F8AE977E1DF}</author>
    <author>tc={B8357F4A-C795-4CF5-9EF8-174EFDCBC08C}</author>
    <author>tc={A064B4AE-91FF-430B-97CA-D536C9B60C97}</author>
    <author>tc={1A9B1FDA-49E7-4AE1-A82C-B7AC7B8A37AF}</author>
    <author>tc={FB34A765-3F09-479D-87E9-B91258895245}</author>
    <author>tc={1F83C651-A3E7-4920-8882-E88E1DB4E434}</author>
    <author>tc={8268B4BB-1D88-4977-BBF3-74FD76984209}</author>
    <author>tc={FDC38030-F4B3-424A-9B2E-40EEB339FAC9}</author>
    <author>tc={D1C4AEA1-8F1C-4F64-9EBB-7BE37882CB06}</author>
    <author>tc={8ACF9C04-0841-424D-B0EB-6B7712590B9B}</author>
  </authors>
  <commentList>
    <comment ref="E10" authorId="0" shapeId="0" xr:uid="{9463E39C-472F-4781-8351-9F8AE977E1DF}">
      <text>
        <t>[Threaded comment]
Your version of Excel allows you to read this threaded comment; however, any edits to it will get removed if the file is opened in a newer version of Excel. Learn more: https://go.microsoft.com/fwlink/?linkid=870924
Comment:
    Should be $351 to balance to the fund balance</t>
      </text>
    </comment>
    <comment ref="I10" authorId="1" shapeId="0" xr:uid="{B8357F4A-C795-4CF5-9EF8-174EFDCBC08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@Anne-Marie L. Larrabure should this be $4425 instead?
Reply:
    @Carol Lee Yes, it should be $4,425.</t>
      </text>
    </comment>
    <comment ref="G11" authorId="2" shapeId="0" xr:uid="{A064B4AE-91FF-430B-97CA-D536C9B60C9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@Carol Lee Based on the Fund Balance, the CFwd allocation should be $396,513. See screenshot to the right.
Reply:
    How do we determine if the entire fund balance should go to the division or if the difference should go to the University Level like PCR06?
Reply:
    @Carol Lee These funds are strictly to recover project mgnt fees to manage capital projects. All of the funds go to Facilities.</t>
      </text>
    </comment>
    <comment ref="B17" authorId="3" shapeId="0" xr:uid="{1A9B1FDA-49E7-4AE1-A82C-B7AC7B8A37AF}">
      <text>
        <t>[Threaded comment]
Your version of Excel allows you to read this threaded comment; however, any edits to it will get removed if the file is opened in a newer version of Excel. Learn more: https://go.microsoft.com/fwlink/?linkid=870924
Comment:
    Augmented Univ Level CFwd to match Fund Balance</t>
      </text>
    </comment>
    <comment ref="C17" authorId="4" shapeId="0" xr:uid="{FB34A765-3F09-479D-87E9-B91258895245}">
      <text>
        <t>[Threaded comment]
Your version of Excel allows you to read this threaded comment; however, any edits to it will get removed if the file is opened in a newer version of Excel. Learn more: https://go.microsoft.com/fwlink/?linkid=870924
Comment:
    Augmented Univ Level CFwd to match Fund Balance</t>
      </text>
    </comment>
    <comment ref="D17" authorId="5" shapeId="0" xr:uid="{1F83C651-A3E7-4920-8882-E88E1DB4E434}">
      <text>
        <t>[Threaded comment]
Your version of Excel allows you to read this threaded comment; however, any edits to it will get removed if the file is opened in a newer version of Excel. Learn more: https://go.microsoft.com/fwlink/?linkid=870924
Comment:
    Augmented Univ Level CFwd to match Fund Balance</t>
      </text>
    </comment>
    <comment ref="E17" authorId="6" shapeId="0" xr:uid="{8268B4BB-1D88-4977-BBF3-74FD76984209}">
      <text>
        <t>[Threaded comment]
Your version of Excel allows you to read this threaded comment; however, any edits to it will get removed if the file is opened in a newer version of Excel. Learn more: https://go.microsoft.com/fwlink/?linkid=870924
Comment:
    CFwd confirmed</t>
      </text>
    </comment>
    <comment ref="F17" authorId="7" shapeId="0" xr:uid="{FDC38030-F4B3-424A-9B2E-40EEB339FAC9}">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CFwd confirmed
Reply:
    Shouldn't we tie the total to the fund balance $31,577?
Reply:
    @Carol Lee I believe the variance of $6,536 is tied to a transaction that we tried to correct in a previous year. I need to do further research in how to get this corrected. I believe we should allocate the CFwd reflected at the University level based on FY22/23 activity. </t>
      </text>
    </comment>
    <comment ref="G17" authorId="8" shapeId="0" xr:uid="{D1C4AEA1-8F1C-4F64-9EBB-7BE37882CB0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@Carol Lee Recommend zeroing it out at the Univ Level.</t>
      </text>
    </comment>
    <comment ref="H17" authorId="9" shapeId="0" xr:uid="{8ACF9C04-0841-424D-B0EB-6B7712590B9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@Carol Lee Added PCR08
Reply:
    DEPT ID 96100</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tc={94344000-C847-4EAB-B14E-38ED6C9A3F47}</author>
  </authors>
  <commentList>
    <comment ref="A3" authorId="0" shapeId="0" xr:uid="{94344000-C847-4EAB-B14E-38ED6C9A3F4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@Carol Lee Should TY006 ($31,642) and TY017 ($8,550) also be included?
Reply:
    @Anne-Marie L. Larrabure Added.  Does it matter the fund balances for these are debits?
Reply:
    Lottery Funds are weird for lack of a better word. It would be easier to explain verbally.</t>
      </text>
    </comment>
  </commentList>
</comments>
</file>

<file path=xl/sharedStrings.xml><?xml version="1.0" encoding="utf-8"?>
<sst xmlns="http://schemas.openxmlformats.org/spreadsheetml/2006/main" count="381" uniqueCount="223">
  <si>
    <t>Undesignated</t>
  </si>
  <si>
    <t>Designated</t>
  </si>
  <si>
    <t>Fees</t>
  </si>
  <si>
    <t>22-23</t>
  </si>
  <si>
    <t>23-24</t>
  </si>
  <si>
    <t>Office of the President</t>
  </si>
  <si>
    <t>Academic Affairs</t>
  </si>
  <si>
    <t>Administrative Affairs</t>
  </si>
  <si>
    <t>IT&amp;IP</t>
  </si>
  <si>
    <t>Student Affairs</t>
  </si>
  <si>
    <t>University Advancement</t>
  </si>
  <si>
    <t>Division Total</t>
  </si>
  <si>
    <t>University Level Financial Aid</t>
  </si>
  <si>
    <t>University Level</t>
  </si>
  <si>
    <t>CPP Campus Total</t>
  </si>
  <si>
    <t>GI 2025 for Tenure Density</t>
  </si>
  <si>
    <t>Designations</t>
  </si>
  <si>
    <t>PRESIDENTS</t>
  </si>
  <si>
    <t>ACADEMIC</t>
  </si>
  <si>
    <t>STUDENT</t>
  </si>
  <si>
    <t>UNIVERSITY</t>
  </si>
  <si>
    <t>TOTAL</t>
  </si>
  <si>
    <t>OFFICE</t>
  </si>
  <si>
    <t>AFFAIRS</t>
  </si>
  <si>
    <t>C1460 - AB1460 Ethnic Studies</t>
  </si>
  <si>
    <t>C3285 - Academic Student Success Prgrm</t>
  </si>
  <si>
    <t>C3344 - Student Success RFP</t>
  </si>
  <si>
    <t>C3371 - Disability Accommodations</t>
  </si>
  <si>
    <t>Financial Aid</t>
  </si>
  <si>
    <t xml:space="preserve">
Category II Student Success
Fee</t>
  </si>
  <si>
    <t>Category II
Student Health
Fee</t>
  </si>
  <si>
    <t>Category II
Orientation
Fee</t>
  </si>
  <si>
    <t>Category III
Misc. Course Fees</t>
  </si>
  <si>
    <t>Category IV
Fees</t>
  </si>
  <si>
    <t>Doctoral
Differential
Fee</t>
  </si>
  <si>
    <t>Graduate Business Prof Fee</t>
  </si>
  <si>
    <t>Category III</t>
  </si>
  <si>
    <t>Division</t>
  </si>
  <si>
    <t>Description</t>
  </si>
  <si>
    <t>Amount</t>
  </si>
  <si>
    <t>AH202 - Clinical Anatomy Lab</t>
  </si>
  <si>
    <t>AH369 - Lab Animal Mgmt Rules &amp; Reg</t>
  </si>
  <si>
    <t>AH407 - AH407-Critical Care</t>
  </si>
  <si>
    <t>AV114 - Food Animal Science Lab</t>
  </si>
  <si>
    <t>AV125 - Equine Management Lab</t>
  </si>
  <si>
    <t>AV350 - Anat &amp; Phys of Domestic Animal</t>
  </si>
  <si>
    <t>AV430 - Biotech App in Animal Science</t>
  </si>
  <si>
    <t>BI111 - BIO111L - Life Science Lab</t>
  </si>
  <si>
    <t>BI115 - BIO115L - Basic Biology Lab</t>
  </si>
  <si>
    <t>BI121 - BIO121L - Energy &amp; Matter Lab</t>
  </si>
  <si>
    <t>BI122 - BIO1220L-Foundations of Bio</t>
  </si>
  <si>
    <t>BI206 - BIO2060L-Basic Micro Lab</t>
  </si>
  <si>
    <t>BI235 - BIO235L - Human Physiology</t>
  </si>
  <si>
    <t>BI440 - BI440 - Stem Cell Lab</t>
  </si>
  <si>
    <t>BI465 - BI465 - Immunology Lab</t>
  </si>
  <si>
    <t>BI467 - BIO4670L-Gen Virology Lab Fee</t>
  </si>
  <si>
    <t>CE320 - CE3201L-Environ Resource Mgmt</t>
  </si>
  <si>
    <t>CE340 - CE3401L-Geotechnical Engineer</t>
  </si>
  <si>
    <t>CE420 - CE4201L-Water Supply Lab Fee</t>
  </si>
  <si>
    <t>CH121 - CHM 1210L-General Chemistry</t>
  </si>
  <si>
    <t>CH122 - CHM 1220L-General Chemistry</t>
  </si>
  <si>
    <t>CH201 - CHM2010-Elemt Organic Chem Lab</t>
  </si>
  <si>
    <t>CH221 - CHM221L - Quantitative Analys</t>
  </si>
  <si>
    <t>CH314 - CHM3140L-Organic Chem I Lab</t>
  </si>
  <si>
    <t>CH315 - CHM3150L-Organic Chemistry II</t>
  </si>
  <si>
    <t>CH327 - CH3270L-Biochemistry Lab I</t>
  </si>
  <si>
    <t>EE100 - ECE Lab Fee</t>
  </si>
  <si>
    <t>FS427 - FS4271L-Food Processing</t>
  </si>
  <si>
    <t>HT250 - HRT2550-Healthy Amer Cuisine</t>
  </si>
  <si>
    <t>HT281 - HRT281-Professional Cook</t>
  </si>
  <si>
    <t>HT312 - HRT 312-Beer and Culture</t>
  </si>
  <si>
    <t>HT315 - HRT315-Wines,Beer,Spirit</t>
  </si>
  <si>
    <t>HT324 - HRT324-World Cuisine</t>
  </si>
  <si>
    <t>HT325 - HRT325-Prof Health Cooking</t>
  </si>
  <si>
    <t>HT381 - HRT381-Professional Cook I</t>
  </si>
  <si>
    <t>MF201 - Manufact Sys and Proc Lab Fee</t>
  </si>
  <si>
    <t>NT121 - NTR1210L-Intro to Food</t>
  </si>
  <si>
    <t>PL112 - PLT1120L-Landscape Horticultur</t>
  </si>
  <si>
    <t>TX005 - Dietetic Internship</t>
  </si>
  <si>
    <t>TX011 - ADA Trans Evaluation</t>
  </si>
  <si>
    <t>VC312 - VCD1312A-Begin Life Drawing</t>
  </si>
  <si>
    <t>VC330 - VCD1330A-Intro to Clay</t>
  </si>
  <si>
    <t>VC361 - VCD3361A-Life Drawing</t>
  </si>
  <si>
    <t>VC364 - VCD3364A-Ceramica</t>
  </si>
  <si>
    <t>VC365 - VCD3365A-Fundamental of Sculp</t>
  </si>
  <si>
    <t>Category IV</t>
  </si>
  <si>
    <t>Subtotal</t>
  </si>
  <si>
    <t>C4401 - Chemistry</t>
  </si>
  <si>
    <t>C4404 - Physical Education</t>
  </si>
  <si>
    <t>C4406 - Library Obligations</t>
  </si>
  <si>
    <t>C4407 - Library Fines/Late Fees</t>
  </si>
  <si>
    <t>C4413 - Math/Calculus Placement</t>
  </si>
  <si>
    <t>C4415 - Special Exam Revenue</t>
  </si>
  <si>
    <t>TX019 - Credential Evaluation</t>
  </si>
  <si>
    <t>TX038 - Grad Writing Test</t>
  </si>
  <si>
    <t>TX040 - IGE Trust</t>
  </si>
  <si>
    <t>TX048 - PCPT</t>
  </si>
  <si>
    <t>TX051 - Musical Instrument Repair</t>
  </si>
  <si>
    <t>TX008 - Univ Acctg</t>
  </si>
  <si>
    <t>Attachment F: Financial Aid</t>
  </si>
  <si>
    <t>Total</t>
  </si>
  <si>
    <t>BPA #23-03</t>
  </si>
  <si>
    <t>22-23
Year-End Balance</t>
  </si>
  <si>
    <t>Transfers between Divisions</t>
  </si>
  <si>
    <t>23-24 Carryforward Allocation</t>
  </si>
  <si>
    <t>(2) Safer Return (Dept ID 73721) $1,278,190 moved from President's  to Student Affairs</t>
  </si>
  <si>
    <t>00000 - No Class Value</t>
  </si>
  <si>
    <t>C1005 - Research &amp; Creative Activity</t>
  </si>
  <si>
    <t>C1014 - Service Learning</t>
  </si>
  <si>
    <t>C3157 - Chancellor's FinAid Funds</t>
  </si>
  <si>
    <t>C3191 - Articulation Support</t>
  </si>
  <si>
    <t>C3218 - Math/Science Initiative</t>
  </si>
  <si>
    <t>C3257 - CO TEACH Fund</t>
  </si>
  <si>
    <t>C3325 - CSU Senate Travel</t>
  </si>
  <si>
    <t>C3348 - Semester Conversion</t>
  </si>
  <si>
    <t>C3389 - Project Rebound</t>
  </si>
  <si>
    <t>C3400 - MSTI-STEM Challenge</t>
  </si>
  <si>
    <t>C3418 - Fac Prf Dev &amp; Eq Opp Practices</t>
  </si>
  <si>
    <t>C3421 - Direct Student Support</t>
  </si>
  <si>
    <t>C3431 - Cal-Bridge Program</t>
  </si>
  <si>
    <t>C3360 - SSCI - GI2025</t>
  </si>
  <si>
    <t>C3361 - SSCI - Tenure Track Faculty</t>
  </si>
  <si>
    <t>C3362 - SSCI - Enhanced Advising</t>
  </si>
  <si>
    <t>C3363 - SSCI - Bottleneck Solutions</t>
  </si>
  <si>
    <t>C3364 - SSCI - Student Prep</t>
  </si>
  <si>
    <t>C3365 - SSCI - Retention</t>
  </si>
  <si>
    <t>C3366 - SSCI - Data-Driven Decisions</t>
  </si>
  <si>
    <t>Attachment B: Designated Funds</t>
  </si>
  <si>
    <t xml:space="preserve">     Project Rebound (Dept ID 29720) $12,972 moved from Academic Affairs to Student Affairs</t>
  </si>
  <si>
    <t>Centrally Managed</t>
  </si>
  <si>
    <t xml:space="preserve">Cal-Bridge
</t>
  </si>
  <si>
    <t xml:space="preserve">Other
</t>
  </si>
  <si>
    <t>Student Success RFP</t>
  </si>
  <si>
    <t>(1) Ending available balances as of June 30, 2023 before reorgs and tree changes</t>
  </si>
  <si>
    <t>Grand</t>
  </si>
  <si>
    <t>Attachment B</t>
  </si>
  <si>
    <t>23-24
Carryforward
Allocation</t>
  </si>
  <si>
    <t xml:space="preserve">GI 2025
</t>
  </si>
  <si>
    <t>Attachment C: Fees</t>
  </si>
  <si>
    <t>C3155 - Math Diagnostic Place Testing</t>
  </si>
  <si>
    <t>C4410 - KHP - Swimming Fee</t>
  </si>
  <si>
    <t>C4412 - Outside Test Fees</t>
  </si>
  <si>
    <t>C4414 - Late Fee Past Due Balance-IPP</t>
  </si>
  <si>
    <t>CE127 - CE127-Civil Engin Lab Fee</t>
  </si>
  <si>
    <t>CE543 - CE5431L-Subsurface Explor &amp; Ch</t>
  </si>
  <si>
    <t>HT255 - HRT255-Health AmerCuisine</t>
  </si>
  <si>
    <t>VC363 - VCD3363A-Printmaking</t>
  </si>
  <si>
    <t xml:space="preserve">Centrally Managed
</t>
  </si>
  <si>
    <t>(4) Misc. Course Fees FY22-23 year-end balances</t>
  </si>
  <si>
    <t>Category IV
Commence-
ment</t>
  </si>
  <si>
    <t>22-23 Benefits Offset</t>
  </si>
  <si>
    <t>Benefits Allocation</t>
  </si>
  <si>
    <t>Adjustment</t>
  </si>
  <si>
    <t xml:space="preserve">     Academic Affairs: ($23,740) benefits offset for Doctorial Differential Fee</t>
  </si>
  <si>
    <t xml:space="preserve">     Academic Affairs: ($784) revenue offset</t>
  </si>
  <si>
    <t xml:space="preserve">     Academic Affairs: ($267,732) benefits offset for Graduate Business Professional Fee</t>
  </si>
  <si>
    <t>University Level Benefits Offset</t>
  </si>
  <si>
    <t>University Level Benefits Allocation</t>
  </si>
  <si>
    <t>University Level - offset</t>
  </si>
  <si>
    <t>Attachment C</t>
  </si>
  <si>
    <t xml:space="preserve">     Student Affairs: ($111,417) benefits offset for Orientation</t>
  </si>
  <si>
    <t xml:space="preserve">     University Advancement : ($5,840) benefits offset for Commencement</t>
  </si>
  <si>
    <t>(1) Carryforward from Designated funds for tenure density, C3361</t>
  </si>
  <si>
    <t>(2) Carryforward from Designated funds for GI2025, C336X</t>
  </si>
  <si>
    <t>(5) Other includes the rest; see the breakdown on the next page</t>
  </si>
  <si>
    <t>(6) University Level Financial Aid and centrally held one-time Designated funds, including $18.75 million for University Farm</t>
  </si>
  <si>
    <t>Attachment A: FY23-24 General Fund Carryforward Budget Allocation Memo</t>
  </si>
  <si>
    <t>23-24
Carryforward Allocation</t>
  </si>
  <si>
    <t>PCR02
External Sources</t>
  </si>
  <si>
    <t>PCR01
Internal Sources</t>
  </si>
  <si>
    <t>PCR04
Acad Fac Space Rental</t>
  </si>
  <si>
    <t>PCR05
Theater Space Rental</t>
  </si>
  <si>
    <t>PCR06
Film &amp; Photo Shoot</t>
  </si>
  <si>
    <t>PCR07
Capital Proj Mgmt</t>
  </si>
  <si>
    <t>PCR10
AB798 Textbook</t>
  </si>
  <si>
    <t>(1) PCR01 Office of the President includes EODA's carryforward balance of $456,690 transferred from Administrative Affairs</t>
  </si>
  <si>
    <t>(2) PCR02 Office of the President includes EODA's carryforward of $3,474 transferred from Administrative Affairs</t>
  </si>
  <si>
    <t>PCR08
Capital Proj Utilities Conn</t>
  </si>
  <si>
    <t>(5) Commencement Diploma Fee carryforward balance of $69,496 moved from University Advancement to Academic Affairs</t>
  </si>
  <si>
    <t>(7) University Level Financial Aid carryforward balance $28,320</t>
  </si>
  <si>
    <t>(2) University Level Financial Aid carryforward balance $399,489</t>
  </si>
  <si>
    <t>(9) Centrally Managed balance</t>
  </si>
  <si>
    <t>22-23
Year-End
Balance
TY033</t>
  </si>
  <si>
    <t>22-23
Year-End
Balance
TY006</t>
  </si>
  <si>
    <t>22-23
Year-End
Balance
TY17</t>
  </si>
  <si>
    <t>C3189 - Renaissance Scholars</t>
  </si>
  <si>
    <t>C3372 - Hunger-Free Campus Designation (Basic Needs)</t>
  </si>
  <si>
    <t>(a)</t>
  </si>
  <si>
    <t>(b)</t>
  </si>
  <si>
    <t>(a): balances in these class codes can be combined and redistributed</t>
  </si>
  <si>
    <t>(b): balances in these class codes can be combined and redistributed since they are all classified as GI2025</t>
  </si>
  <si>
    <t>Notes:</t>
  </si>
  <si>
    <t xml:space="preserve">     Allocation of $342,425 to subsidize benefit costs for Student Affairs</t>
  </si>
  <si>
    <t>(3) Academic Affairs Photo ID adjustment, $33,594</t>
  </si>
  <si>
    <t>Designated is for CO designation and not campus-level designation.  Therefore, the following campus-level class codes will be moved to Undesignated.</t>
  </si>
  <si>
    <t>"Other" C3280 - Leadership Search Support</t>
  </si>
  <si>
    <t>"Other" C3320 - Non-Resident Recruitment</t>
  </si>
  <si>
    <t>"Other" SG005 - Organizational Development</t>
  </si>
  <si>
    <t>"Other" TX068 - Teacher Prep Reading</t>
  </si>
  <si>
    <t>(4) Ending available balances as of June 30, 2023 before reorgs and tree changes</t>
  </si>
  <si>
    <t>(5) Project Rebound (Dept ID 29720) $90,789 moved from Academic Affairs to Student Affairs</t>
  </si>
  <si>
    <t>(7) Ending available balances as of June 30, 2023 before reorgs and tree changes</t>
  </si>
  <si>
    <t>(8) Benefits offsets are benefit costs incurred centrally that should be covered by Fees.  These costs are deducted from the divisional Carryforward</t>
  </si>
  <si>
    <t>(9) Transfer $69,496 Commencement Fee (Diploma portion) from Advancement to Academic Affairs via a tree change</t>
  </si>
  <si>
    <t>Designation Reclass</t>
  </si>
  <si>
    <t xml:space="preserve">     President's Office Designated funds of $9,739 moved to Undesignated</t>
  </si>
  <si>
    <t xml:space="preserve">     Academic Affairs Designated funds of ($294,200) moved to Undesignated</t>
  </si>
  <si>
    <t>(3) Campus-level designated funds moved from Designated to Undesignated (see Attachment B Notes)</t>
  </si>
  <si>
    <t xml:space="preserve">     Academic Affairs: ($255,058) benefits offset for SSF</t>
  </si>
  <si>
    <t xml:space="preserve">     IT&amp;IP: ($44,170) benefits offset for SSF</t>
  </si>
  <si>
    <t xml:space="preserve">     Transfer $405,660 from Undesignated to Fees to cover deficits as a result of SSF benefit costs</t>
  </si>
  <si>
    <t>(10) Allocation of $342,425 to subsidize FY23-24 SSF benefit costs for Student Affairs</t>
  </si>
  <si>
    <t>(3) Cal-Bridge program Carryforward funds, C3431</t>
  </si>
  <si>
    <t>(4) Student Success RFP Carryforward funds, C3344</t>
  </si>
  <si>
    <t>(1) Academic Affairs SSF FY22-23 benefits offset ($255,058)</t>
  </si>
  <si>
    <t xml:space="preserve">     IT&amp;IP SSF FY22-23 benefits offset ($44,170)</t>
  </si>
  <si>
    <t xml:space="preserve">     Student Affairs Orientation FY22-23 benefits offset ($111,417)</t>
  </si>
  <si>
    <t xml:space="preserve">     Commencement FY22-23 benefits offset ($5,840)</t>
  </si>
  <si>
    <t>(6) Category IV Fee - TX040 - IGE Trust benefits offset ($784)</t>
  </si>
  <si>
    <t xml:space="preserve">     Doctoral Differential Fee FY22-23 benefits offset ($23,740)</t>
  </si>
  <si>
    <t>(8) Graduate Business Professional Fee FY22-23 benefits offset ($267,732)</t>
  </si>
  <si>
    <t>Attachment D: Cost Recovery</t>
  </si>
  <si>
    <t>Attachment E: Lottery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</si>
</sst>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409]mmmm\ d\,\ yyyy;@"/>
    <numFmt numFmtId="165" formatCode="_(* #,##0_);_(* \(#,##0\);_(* &quot;-&quot;??_);_(@_)"/>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9"/>
      <color theme="1"/>
      <name val="Calibri"/>
      <family val="2"/>
      <scheme val="minor"/>
    </font>
    <font>
      <sz val="11"/>
      <color rgb="FFC00000"/>
      <name val="Calibri"/>
      <family val="2"/>
      <scheme val="minor"/>
    </font>
    <font>
      <sz val="10"/>
      <name val="Calibri"/>
      <family val="2"/>
      <scheme val="minor"/>
    </font>
    <font>
      <sz val="11"/>
      <color theme="1"/>
      <name val="Calibri"/>
      <family val="2"/>
      <scheme val="minor"/>
    </font>
    <font>
      <b/>
      <sz val="12"/>
      <color theme="1"/>
      <name val="Calibri"/>
      <family val="2"/>
      <scheme val="minor"/>
    </font>
    <font>
      <b/>
      <sz val="20"/>
      <color rgb="FFFF0000"/>
      <name val="Calibri"/>
      <family val="2"/>
      <scheme val="minor"/>
    </font>
    <font>
      <sz val="10"/>
      <color rgb="FF000000"/>
      <name val="Times New Roman"/>
      <family val="2"/>
    </font>
    <font>
      <u/>
      <sz val="11"/>
      <color theme="1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6" tint="0.79998168889431442"/>
        <bgColor indexed="64"/>
      </patternFill>
    </fill>
  </fills>
  <borders count="18">
    <border>
      <left/>
      <right/>
      <top/>
      <bottom/>
      <diagonal/>
    </border>
    <border>
      <left style="medium">
        <color auto="1"/>
      </left>
      <right/>
      <top/>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top style="thin">
        <color auto="1"/>
      </top>
      <bottom style="double">
        <color auto="1"/>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applyNumberFormat="0" applyFill="0" applyBorder="0" applyAlignment="0" applyProtection="0"/>
  </cellStyleXfs>
  <cellXfs count="80">
    <xf numFmtId="0" fontId="0" fillId="0" borderId="0" xfId="0"/>
    <xf numFmtId="37" fontId="0" fillId="0" borderId="0" xfId="0" applyNumberFormat="1" applyAlignment="1">
      <alignment horizontal="center"/>
    </xf>
    <xf numFmtId="37" fontId="0" fillId="0" borderId="0" xfId="0" applyNumberFormat="1"/>
    <xf numFmtId="37" fontId="3" fillId="0" borderId="0" xfId="0" applyNumberFormat="1" applyFont="1" applyAlignment="1">
      <alignment horizontal="right"/>
    </xf>
    <xf numFmtId="37" fontId="3" fillId="0" borderId="0" xfId="0" applyNumberFormat="1" applyFont="1"/>
    <xf numFmtId="164" fontId="3" fillId="0" borderId="0" xfId="0" quotePrefix="1" applyNumberFormat="1" applyFont="1" applyAlignment="1">
      <alignment horizontal="right" wrapText="1"/>
    </xf>
    <xf numFmtId="5" fontId="1" fillId="0" borderId="0" xfId="0" applyNumberFormat="1" applyFont="1"/>
    <xf numFmtId="37" fontId="5" fillId="0" borderId="0" xfId="0" applyNumberFormat="1" applyFont="1"/>
    <xf numFmtId="37" fontId="0" fillId="0" borderId="0" xfId="0" applyNumberFormat="1" applyAlignment="1">
      <alignment horizontal="center" wrapText="1"/>
    </xf>
    <xf numFmtId="37" fontId="2" fillId="0" borderId="0" xfId="0" applyNumberFormat="1" applyFont="1" applyAlignment="1">
      <alignment horizontal="center" wrapText="1"/>
    </xf>
    <xf numFmtId="37" fontId="6" fillId="0" borderId="0" xfId="0" quotePrefix="1" applyNumberFormat="1" applyFont="1"/>
    <xf numFmtId="164" fontId="3" fillId="0" borderId="0" xfId="0" quotePrefix="1" applyNumberFormat="1" applyFont="1" applyAlignment="1">
      <alignment wrapText="1"/>
    </xf>
    <xf numFmtId="37" fontId="2" fillId="0" borderId="0" xfId="0" applyNumberFormat="1" applyFont="1" applyAlignment="1">
      <alignment horizontal="center"/>
    </xf>
    <xf numFmtId="37" fontId="0" fillId="2" borderId="0" xfId="0" applyNumberFormat="1" applyFill="1" applyAlignment="1">
      <alignment horizontal="center"/>
    </xf>
    <xf numFmtId="37" fontId="2" fillId="2" borderId="0" xfId="0" applyNumberFormat="1" applyFont="1" applyFill="1" applyAlignment="1">
      <alignment horizontal="center" wrapText="1"/>
    </xf>
    <xf numFmtId="165" fontId="0" fillId="0" borderId="0" xfId="1" applyNumberFormat="1" applyFont="1" applyFill="1" applyAlignment="1">
      <alignment horizontal="right" indent="1"/>
    </xf>
    <xf numFmtId="165" fontId="2" fillId="0" borderId="2" xfId="1" applyNumberFormat="1" applyFont="1" applyFill="1" applyBorder="1" applyAlignment="1">
      <alignment horizontal="right" indent="1"/>
    </xf>
    <xf numFmtId="37" fontId="2" fillId="0" borderId="2" xfId="0" applyNumberFormat="1" applyFont="1" applyBorder="1"/>
    <xf numFmtId="5" fontId="2" fillId="0" borderId="4" xfId="0" applyNumberFormat="1" applyFont="1" applyBorder="1"/>
    <xf numFmtId="165" fontId="2" fillId="0" borderId="4" xfId="1" applyNumberFormat="1" applyFont="1" applyFill="1" applyBorder="1" applyAlignment="1">
      <alignment horizontal="right" indent="1"/>
    </xf>
    <xf numFmtId="5" fontId="2" fillId="0" borderId="0" xfId="0" applyNumberFormat="1" applyFont="1"/>
    <xf numFmtId="5" fontId="2" fillId="0" borderId="0" xfId="0" applyNumberFormat="1" applyFont="1" applyAlignment="1">
      <alignment horizontal="right" indent="1"/>
    </xf>
    <xf numFmtId="37" fontId="0" fillId="0" borderId="8" xfId="0" applyNumberFormat="1" applyBorder="1" applyAlignment="1">
      <alignment horizontal="center" wrapText="1"/>
    </xf>
    <xf numFmtId="37" fontId="4" fillId="0" borderId="8" xfId="0" applyNumberFormat="1" applyFont="1" applyBorder="1" applyAlignment="1">
      <alignment horizontal="center" vertical="center"/>
    </xf>
    <xf numFmtId="14" fontId="2" fillId="0" borderId="8" xfId="0" applyNumberFormat="1" applyFont="1" applyBorder="1" applyAlignment="1">
      <alignment horizontal="center" wrapText="1"/>
    </xf>
    <xf numFmtId="14" fontId="2" fillId="3" borderId="8" xfId="0" applyNumberFormat="1" applyFont="1" applyFill="1" applyBorder="1" applyAlignment="1">
      <alignment horizontal="center" wrapText="1"/>
    </xf>
    <xf numFmtId="165" fontId="0" fillId="3" borderId="0" xfId="1" applyNumberFormat="1" applyFont="1" applyFill="1" applyAlignment="1">
      <alignment horizontal="right" indent="1"/>
    </xf>
    <xf numFmtId="165" fontId="2" fillId="3" borderId="2" xfId="1" applyNumberFormat="1" applyFont="1" applyFill="1" applyBorder="1" applyAlignment="1">
      <alignment horizontal="right" indent="1"/>
    </xf>
    <xf numFmtId="165" fontId="2" fillId="3" borderId="4" xfId="1" applyNumberFormat="1" applyFont="1" applyFill="1" applyBorder="1" applyAlignment="1">
      <alignment horizontal="right" indent="1"/>
    </xf>
    <xf numFmtId="14" fontId="8" fillId="0" borderId="0" xfId="0" applyNumberFormat="1" applyFont="1" applyAlignment="1">
      <alignment horizontal="left"/>
    </xf>
    <xf numFmtId="37" fontId="0" fillId="0" borderId="0" xfId="0" applyNumberFormat="1" applyAlignment="1">
      <alignment horizontal="right"/>
    </xf>
    <xf numFmtId="37" fontId="0" fillId="3" borderId="1" xfId="0" applyNumberFormat="1" applyFill="1" applyBorder="1" applyAlignment="1">
      <alignment horizontal="center"/>
    </xf>
    <xf numFmtId="37" fontId="2" fillId="3" borderId="1" xfId="0" applyNumberFormat="1" applyFont="1" applyFill="1" applyBorder="1" applyAlignment="1">
      <alignment horizontal="center" wrapText="1"/>
    </xf>
    <xf numFmtId="37" fontId="4" fillId="3" borderId="9" xfId="0" applyNumberFormat="1" applyFont="1" applyFill="1" applyBorder="1" applyAlignment="1">
      <alignment horizontal="center" vertical="center"/>
    </xf>
    <xf numFmtId="165" fontId="0" fillId="3" borderId="1" xfId="1" applyNumberFormat="1" applyFont="1" applyFill="1" applyBorder="1" applyAlignment="1">
      <alignment horizontal="right" indent="1"/>
    </xf>
    <xf numFmtId="165" fontId="2" fillId="3" borderId="3" xfId="1" applyNumberFormat="1" applyFont="1" applyFill="1" applyBorder="1" applyAlignment="1">
      <alignment horizontal="right" indent="1"/>
    </xf>
    <xf numFmtId="165" fontId="2" fillId="3" borderId="5" xfId="1" applyNumberFormat="1" applyFont="1" applyFill="1" applyBorder="1" applyAlignment="1">
      <alignment horizontal="right" indent="1"/>
    </xf>
    <xf numFmtId="37" fontId="9" fillId="0" borderId="0" xfId="0" applyNumberFormat="1" applyFont="1" applyAlignment="1">
      <alignment horizontal="center"/>
    </xf>
    <xf numFmtId="165" fontId="0" fillId="0" borderId="0" xfId="0" applyNumberFormat="1"/>
    <xf numFmtId="37" fontId="0" fillId="0" borderId="11" xfId="0" applyNumberFormat="1" applyBorder="1" applyAlignment="1">
      <alignment horizontal="center"/>
    </xf>
    <xf numFmtId="37" fontId="0" fillId="0" borderId="12" xfId="0" applyNumberFormat="1" applyBorder="1" applyAlignment="1">
      <alignment horizontal="center"/>
    </xf>
    <xf numFmtId="37" fontId="0" fillId="0" borderId="13" xfId="0" applyNumberFormat="1" applyBorder="1" applyAlignment="1">
      <alignment horizontal="right"/>
    </xf>
    <xf numFmtId="37" fontId="0" fillId="0" borderId="11" xfId="0" applyNumberFormat="1" applyBorder="1"/>
    <xf numFmtId="37" fontId="0" fillId="0" borderId="12" xfId="0" applyNumberFormat="1" applyBorder="1"/>
    <xf numFmtId="37" fontId="0" fillId="0" borderId="10" xfId="0" applyNumberFormat="1" applyBorder="1" applyAlignment="1">
      <alignment horizontal="center"/>
    </xf>
    <xf numFmtId="0" fontId="10" fillId="0" borderId="0" xfId="0" applyFont="1" applyAlignment="1">
      <alignment horizontal="left" indent="1"/>
    </xf>
    <xf numFmtId="3" fontId="10" fillId="0" borderId="0" xfId="0" applyNumberFormat="1" applyFont="1"/>
    <xf numFmtId="0" fontId="10" fillId="0" borderId="0" xfId="0" applyFont="1"/>
    <xf numFmtId="0" fontId="0" fillId="0" borderId="0" xfId="0" applyAlignment="1">
      <alignment horizontal="center"/>
    </xf>
    <xf numFmtId="165" fontId="0" fillId="0" borderId="0" xfId="1" applyNumberFormat="1" applyFont="1"/>
    <xf numFmtId="37" fontId="0" fillId="0" borderId="10" xfId="0" applyNumberFormat="1" applyBorder="1"/>
    <xf numFmtId="37" fontId="0" fillId="0" borderId="14" xfId="0" applyNumberFormat="1" applyBorder="1" applyAlignment="1">
      <alignment horizontal="right"/>
    </xf>
    <xf numFmtId="9" fontId="0" fillId="0" borderId="0" xfId="2" applyFont="1"/>
    <xf numFmtId="37" fontId="2" fillId="0" borderId="10" xfId="0" applyNumberFormat="1" applyFont="1" applyBorder="1" applyAlignment="1">
      <alignment horizontal="center"/>
    </xf>
    <xf numFmtId="37" fontId="0" fillId="0" borderId="0" xfId="0" quotePrefix="1" applyNumberFormat="1"/>
    <xf numFmtId="14" fontId="0" fillId="3" borderId="8" xfId="0" applyNumberFormat="1" applyFill="1" applyBorder="1" applyAlignment="1">
      <alignment horizontal="center" wrapText="1"/>
    </xf>
    <xf numFmtId="165" fontId="0" fillId="0" borderId="14" xfId="1" applyNumberFormat="1" applyFont="1" applyBorder="1"/>
    <xf numFmtId="5" fontId="0" fillId="0" borderId="0" xfId="0" applyNumberFormat="1"/>
    <xf numFmtId="165" fontId="0" fillId="0" borderId="0" xfId="1" applyNumberFormat="1" applyFont="1" applyBorder="1"/>
    <xf numFmtId="165" fontId="0" fillId="0" borderId="0" xfId="1" applyNumberFormat="1" applyFont="1" applyAlignment="1">
      <alignment horizontal="right"/>
    </xf>
    <xf numFmtId="165" fontId="0" fillId="0" borderId="0" xfId="1" applyNumberFormat="1" applyFont="1" applyFill="1" applyAlignment="1">
      <alignment horizontal="right"/>
    </xf>
    <xf numFmtId="165" fontId="0" fillId="0" borderId="0" xfId="1" applyNumberFormat="1" applyFont="1" applyAlignment="1"/>
    <xf numFmtId="37" fontId="0" fillId="2" borderId="15" xfId="0" applyNumberFormat="1" applyFill="1" applyBorder="1" applyAlignment="1">
      <alignment horizontal="center"/>
    </xf>
    <xf numFmtId="37" fontId="2" fillId="2" borderId="1" xfId="0" applyNumberFormat="1" applyFont="1" applyFill="1" applyBorder="1" applyAlignment="1">
      <alignment horizontal="center" wrapText="1"/>
    </xf>
    <xf numFmtId="14" fontId="2" fillId="3" borderId="9" xfId="0" applyNumberFormat="1" applyFont="1" applyFill="1" applyBorder="1" applyAlignment="1">
      <alignment horizontal="center" wrapText="1"/>
    </xf>
    <xf numFmtId="37" fontId="2" fillId="0" borderId="16" xfId="0" applyNumberFormat="1" applyFont="1" applyBorder="1" applyAlignment="1">
      <alignment horizontal="center"/>
    </xf>
    <xf numFmtId="37" fontId="2" fillId="0" borderId="17" xfId="0" applyNumberFormat="1" applyFont="1" applyBorder="1" applyAlignment="1">
      <alignment horizontal="center"/>
    </xf>
    <xf numFmtId="37" fontId="2" fillId="0" borderId="0" xfId="0" applyNumberFormat="1" applyFont="1"/>
    <xf numFmtId="5" fontId="0" fillId="0" borderId="0" xfId="0" applyNumberFormat="1" applyAlignment="1">
      <alignment horizontal="right" indent="1"/>
    </xf>
    <xf numFmtId="5" fontId="0" fillId="0" borderId="0" xfId="0" quotePrefix="1" applyNumberFormat="1"/>
    <xf numFmtId="0" fontId="11" fillId="0" borderId="0" xfId="3"/>
    <xf numFmtId="165" fontId="0" fillId="0" borderId="0" xfId="0" applyNumberFormat="1" applyAlignment="1">
      <alignment horizontal="right" indent="1"/>
    </xf>
    <xf numFmtId="165" fontId="0" fillId="0" borderId="0" xfId="1" applyNumberFormat="1" applyFont="1" applyAlignment="1">
      <alignment horizontal="center"/>
    </xf>
    <xf numFmtId="37" fontId="2" fillId="0" borderId="6" xfId="0" applyNumberFormat="1" applyFont="1" applyBorder="1" applyAlignment="1">
      <alignment horizontal="center"/>
    </xf>
    <xf numFmtId="37" fontId="2" fillId="0" borderId="2" xfId="0" applyNumberFormat="1" applyFont="1" applyBorder="1" applyAlignment="1">
      <alignment horizontal="center"/>
    </xf>
    <xf numFmtId="37" fontId="2" fillId="0" borderId="7" xfId="0" applyNumberFormat="1" applyFont="1" applyBorder="1" applyAlignment="1">
      <alignment horizontal="center"/>
    </xf>
    <xf numFmtId="37" fontId="2" fillId="0" borderId="0" xfId="0" applyNumberFormat="1" applyFont="1" applyAlignment="1">
      <alignment horizontal="center"/>
    </xf>
    <xf numFmtId="37" fontId="0" fillId="0" borderId="6" xfId="0" applyNumberFormat="1" applyBorder="1" applyAlignment="1">
      <alignment horizontal="center"/>
    </xf>
    <xf numFmtId="37" fontId="0" fillId="0" borderId="2" xfId="0" applyNumberFormat="1" applyBorder="1" applyAlignment="1">
      <alignment horizontal="center"/>
    </xf>
    <xf numFmtId="37" fontId="0" fillId="0" borderId="7" xfId="0" applyNumberForma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ocumenttasks/documenttask1.xml><?xml version="1.0" encoding="utf-8"?>
<Tasks xmlns="http://schemas.microsoft.com/office/tasks/2019/documenttasks">
  <Task id="{CE066022-C70A-4D88-989C-2792486EF1D3}">
    <Anchor>
      <Comment id="{9A019C07-93E4-4009-8F89-93E97FC4D00A}"/>
    </Anchor>
    <History>
      <Event time="2023-11-22T16:57:21.23" id="{80385655-541B-49BF-8B4E-043039CDA758}">
        <Attribution userId="S::alarrabure@cpp.edu::2761dc8a-b561-418f-b150-b2a0e3bb1007" userName="Anne-Marie L. Larrabure" userProvider="AD"/>
        <Anchor>
          <Comment id="{9A019C07-93E4-4009-8F89-93E97FC4D00A}"/>
        </Anchor>
        <Create/>
      </Event>
      <Event time="2023-11-22T16:57:21.23" id="{760E7F26-DFEA-4438-995C-0DCCA8DADD24}">
        <Attribution userId="S::alarrabure@cpp.edu::2761dc8a-b561-418f-b150-b2a0e3bb1007" userName="Anne-Marie L. Larrabure" userProvider="AD"/>
        <Anchor>
          <Comment id="{9A019C07-93E4-4009-8F89-93E97FC4D00A}"/>
        </Anchor>
        <Assign userId="S::cllee@cpp.edu::90af850c-648f-4f56-a7e2-140fd6bf859f" userName="Carol Lee" userProvider="AD"/>
      </Event>
      <Event time="2023-11-22T16:57:21.23" id="{4996D8FB-5DEF-4E8E-94D7-20B948B7779E}">
        <Attribution userId="S::alarrabure@cpp.edu::2761dc8a-b561-418f-b150-b2a0e3bb1007" userName="Anne-Marie L. Larrabure" userProvider="AD"/>
        <Anchor>
          <Comment id="{9A019C07-93E4-4009-8F89-93E97FC4D00A}"/>
        </Anchor>
        <SetTitle title="@Carol Lee Temp allocations had been made to Academic Affairs to cover the search costs for executive leadership (Deans, Provost, etc). My understanding is that President Coley approved these allocations starting in FY15/16. Starting in FY18/19, these…"/>
      </Event>
      <Event time="2023-11-22T17:06:21.46" id="{5C862D02-B881-4857-AC87-FFE52D406C3C}">
        <Attribution userId="S::cllee@cpp.edu::90af850c-648f-4f56-a7e2-140fd6bf859f" userName="Carol Lee" userProvider="AD"/>
        <Anchor>
          <Comment id="{6F5E974D-8A3A-4DE6-B7AB-E69887DC18E8}"/>
        </Anchor>
        <UnassignAll/>
      </Event>
      <Event time="2023-11-22T17:06:21.46" id="{28495B51-FF53-4FC3-848B-DC455F168179}">
        <Attribution userId="S::cllee@cpp.edu::90af850c-648f-4f56-a7e2-140fd6bf859f" userName="Carol Lee" userProvider="AD"/>
        <Anchor>
          <Comment id="{6F5E974D-8A3A-4DE6-B7AB-E69887DC18E8}"/>
        </Anchor>
        <Assign userId="S::alarrabure@cpp.edu::2761dc8a-b561-418f-b150-b2a0e3bb1007" userName="Anne-Marie L. Larrabure" userProvider="AD"/>
      </Event>
      <Event time="2023-11-22T18:40:59.76" id="{D41C867B-1302-4580-B0AD-AAE0EF92E9C1}">
        <Attribution userId="S::cllee@cpp.edu::90af850c-648f-4f56-a7e2-140fd6bf859f" userName="Carol Lee" userProvider="AD"/>
        <Progress percentComplete="100"/>
      </Event>
    </History>
  </Task>
  <Task id="{D18F7C22-39B4-4519-8B53-4E903DF90DB9}">
    <Anchor>
      <Comment id="{F03847F5-9F12-4E4E-B91F-19DA272E5B38}"/>
    </Anchor>
    <History>
      <Event time="2023-11-22T17:00:29.71" id="{2C69C1E5-58C6-49BF-AD7A-00DF75478CB5}">
        <Attribution userId="S::alarrabure@cpp.edu::2761dc8a-b561-418f-b150-b2a0e3bb1007" userName="Anne-Marie L. Larrabure" userProvider="AD"/>
        <Anchor>
          <Comment id="{F03847F5-9F12-4E4E-B91F-19DA272E5B38}"/>
        </Anchor>
        <Create/>
      </Event>
      <Event time="2023-11-22T17:00:29.71" id="{923F4195-8577-4A49-94B9-947DD994E2A3}">
        <Attribution userId="S::alarrabure@cpp.edu::2761dc8a-b561-418f-b150-b2a0e3bb1007" userName="Anne-Marie L. Larrabure" userProvider="AD"/>
        <Anchor>
          <Comment id="{F03847F5-9F12-4E4E-B91F-19DA272E5B38}"/>
        </Anchor>
        <Assign userId="S::cllee@cpp.edu::90af850c-648f-4f56-a7e2-140fd6bf859f" userName="Carol Lee" userProvider="AD"/>
      </Event>
      <Event time="2023-11-22T17:00:29.71" id="{F4076CCC-8009-4416-A260-44E3FFEA17EE}">
        <Attribution userId="S::alarrabure@cpp.edu::2761dc8a-b561-418f-b150-b2a0e3bb1007" userName="Anne-Marie L. Larrabure" userProvider="AD"/>
        <Anchor>
          <Comment id="{F03847F5-9F12-4E4E-B91F-19DA272E5B38}"/>
        </Anchor>
        <SetTitle title="@Carol Lee What is the source of funding?"/>
      </Event>
    </History>
  </Task>
</Tasks>
</file>

<file path=xl/documenttasks/documenttask2.xml><?xml version="1.0" encoding="utf-8"?>
<Tasks xmlns="http://schemas.microsoft.com/office/tasks/2019/documenttasks">
  <Task id="{DAFBF448-E8AC-42C5-9EF8-C5E15977E82C}">
    <Anchor>
      <Comment id="{A89A3073-98A6-4383-9AC2-DD64EB23A090}"/>
    </Anchor>
    <History>
      <Event time="2023-11-22T18:01:40.85" id="{ECDB0B78-6ADF-4C67-B3EB-D672240735CF}">
        <Attribution userId="S::alarrabure@cpp.edu::2761dc8a-b561-418f-b150-b2a0e3bb1007" userName="Anne-Marie L. Larrabure" userProvider="AD"/>
        <Anchor>
          <Comment id="{A89A3073-98A6-4383-9AC2-DD64EB23A090}"/>
        </Anchor>
        <Create/>
      </Event>
      <Event time="2023-11-22T18:01:40.85" id="{80CFD13D-2182-47D7-B127-A0325B785161}">
        <Attribution userId="S::alarrabure@cpp.edu::2761dc8a-b561-418f-b150-b2a0e3bb1007" userName="Anne-Marie L. Larrabure" userProvider="AD"/>
        <Anchor>
          <Comment id="{A89A3073-98A6-4383-9AC2-DD64EB23A090}"/>
        </Anchor>
        <Assign userId="S::cllee@cpp.edu::90af850c-648f-4f56-a7e2-140fd6bf859f" userName="Carol Lee" userProvider="AD"/>
      </Event>
      <Event time="2023-11-22T18:01:40.85" id="{6079E8B0-72C6-456E-9117-101CEC220E75}">
        <Attribution userId="S::alarrabure@cpp.edu::2761dc8a-b561-418f-b150-b2a0e3bb1007" userName="Anne-Marie L. Larrabure" userProvider="AD"/>
        <Anchor>
          <Comment id="{A89A3073-98A6-4383-9AC2-DD64EB23A090}"/>
        </Anchor>
        <SetTitle title="@Carol Lee I believe this should be C4418 - Medical Services"/>
      </Event>
    </History>
  </Task>
</Tasks>
</file>

<file path=xl/documenttasks/documenttask3.xml><?xml version="1.0" encoding="utf-8"?>
<Tasks xmlns="http://schemas.microsoft.com/office/tasks/2019/documenttasks">
  <Task id="{7FAD6510-D02E-44CF-81CB-507BEBE4FE9D}">
    <Anchor>
      <Comment id="{B8357F4A-C795-4CF5-9EF8-174EFDCBC08C}"/>
    </Anchor>
    <History>
      <Event time="2023-11-22T16:50:40.66" id="{85C99A45-40CF-4AE7-80B8-1B984F42A57E}">
        <Attribution userId="S::alarrabure@cpp.edu::2761dc8a-b561-418f-b150-b2a0e3bb1007" userName="Anne-Marie L. Larrabure" userProvider="AD"/>
        <Anchor>
          <Comment id="{1345F4FB-80A4-47CA-AB38-C2BAA1AEC002}"/>
        </Anchor>
        <Create/>
      </Event>
      <Event time="2023-11-22T16:50:40.66" id="{C4BC0E17-DDC1-4854-9703-BDFE17DAD43C}">
        <Attribution userId="S::alarrabure@cpp.edu::2761dc8a-b561-418f-b150-b2a0e3bb1007" userName="Anne-Marie L. Larrabure" userProvider="AD"/>
        <Anchor>
          <Comment id="{1345F4FB-80A4-47CA-AB38-C2BAA1AEC002}"/>
        </Anchor>
        <Assign userId="S::cllee@cpp.edu::90af850c-648f-4f56-a7e2-140fd6bf859f" userName="Carol Lee" userProvider="AD"/>
      </Event>
      <Event time="2023-11-22T16:50:40.66" id="{85BC449E-8595-4A1D-9402-BBBFD5BACE55}">
        <Attribution userId="S::alarrabure@cpp.edu::2761dc8a-b561-418f-b150-b2a0e3bb1007" userName="Anne-Marie L. Larrabure" userProvider="AD"/>
        <Anchor>
          <Comment id="{1345F4FB-80A4-47CA-AB38-C2BAA1AEC002}"/>
        </Anchor>
        <SetTitle title="@Carol Lee Yes, it should be $4,425."/>
      </Event>
      <Event time="2023-11-22T17:09:37.46" id="{4CCC896E-9CF7-45FA-B5D8-E79F0D842D83}">
        <Attribution userId="S::cllee@cpp.edu::90af850c-648f-4f56-a7e2-140fd6bf859f" userName="Carol Lee" userProvider="AD"/>
        <Progress percentComplete="100"/>
      </Event>
    </History>
  </Task>
  <Task id="{AAA1711A-CE84-4FF0-A63F-A433695BACEF}">
    <Anchor>
      <Comment id="{FDC38030-F4B3-424A-9B2E-40EEB339FAC9}"/>
    </Anchor>
    <History>
      <Event time="2023-11-22T17:15:41.13" id="{836B0D99-A87B-4BBB-A695-A08E0F9B0935}">
        <Attribution userId="S::alarrabure@cpp.edu::2761dc8a-b561-418f-b150-b2a0e3bb1007" userName="Anne-Marie L. Larrabure" userProvider="AD"/>
        <Anchor>
          <Comment id="{3D9FFC1E-38EC-4E72-9137-6ECAFE64EB80}"/>
        </Anchor>
        <Create/>
      </Event>
      <Event time="2023-11-22T17:15:41.13" id="{49F66870-A4E4-4C48-ABD7-7ABC7B7A9DFF}">
        <Attribution userId="S::alarrabure@cpp.edu::2761dc8a-b561-418f-b150-b2a0e3bb1007" userName="Anne-Marie L. Larrabure" userProvider="AD"/>
        <Anchor>
          <Comment id="{3D9FFC1E-38EC-4E72-9137-6ECAFE64EB80}"/>
        </Anchor>
        <Assign userId="S::cllee@cpp.edu::90af850c-648f-4f56-a7e2-140fd6bf859f" userName="Carol Lee" userProvider="AD"/>
      </Event>
      <Event time="2023-11-22T17:15:41.13" id="{BF1AC544-8276-4986-9E85-ED433504BF4A}">
        <Attribution userId="S::alarrabure@cpp.edu::2761dc8a-b561-418f-b150-b2a0e3bb1007" userName="Anne-Marie L. Larrabure" userProvider="AD"/>
        <Anchor>
          <Comment id="{3D9FFC1E-38EC-4E72-9137-6ECAFE64EB80}"/>
        </Anchor>
        <SetTitle title="@Carol Lee I believe the variance of $6,536 is tied to a transaction that we tried to correct in a previous year. I need to do further research in how to get this corrected. I believe we should allocate the CFwd reflected at the University level based on…"/>
      </Event>
      <Event time="2023-11-22T17:43:17.85" id="{0B53D45F-A454-4CF6-AFA0-6598B79B14CE}">
        <Attribution userId="S::cllee@cpp.edu::90af850c-648f-4f56-a7e2-140fd6bf859f" userName="Carol Lee" userProvider="AD"/>
        <Progress percentComplete="100"/>
      </Event>
    </History>
  </Task>
  <Task id="{51EF1B51-579B-4BED-B043-6CDA1A1AC127}">
    <Anchor>
      <Comment id="{A064B4AE-91FF-430B-97CA-D536C9B60C97}"/>
    </Anchor>
    <History>
      <Event time="2023-11-21T20:53:47.77" id="{BAA1CFC6-82F3-4C2C-A7E7-E8E1B4895C6D}">
        <Attribution userId="S::alarrabure@cpp.edu::2761dc8a-b561-418f-b150-b2a0e3bb1007" userName="Anne-Marie L. Larrabure" userProvider="AD"/>
        <Anchor>
          <Comment id="{A064B4AE-91FF-430B-97CA-D536C9B60C97}"/>
        </Anchor>
        <Create/>
      </Event>
      <Event time="2023-11-21T20:53:47.77" id="{B81E6251-F558-4FF0-98EE-F927B0AA9E9B}">
        <Attribution userId="S::alarrabure@cpp.edu::2761dc8a-b561-418f-b150-b2a0e3bb1007" userName="Anne-Marie L. Larrabure" userProvider="AD"/>
        <Anchor>
          <Comment id="{A064B4AE-91FF-430B-97CA-D536C9B60C97}"/>
        </Anchor>
        <Assign userId="S::cllee@cpp.edu::90af850c-648f-4f56-a7e2-140fd6bf859f" userName="Carol Lee" userProvider="AD"/>
      </Event>
      <Event time="2023-11-21T20:53:47.77" id="{7D8EAA26-6749-42F5-8B71-09EFF0D9B07D}">
        <Attribution userId="S::alarrabure@cpp.edu::2761dc8a-b561-418f-b150-b2a0e3bb1007" userName="Anne-Marie L. Larrabure" userProvider="AD"/>
        <Anchor>
          <Comment id="{A064B4AE-91FF-430B-97CA-D536C9B60C97}"/>
        </Anchor>
        <SetTitle title="@Carol Lee Based on the Fund Balance, the CFwd allocation should be $396,513. See screenshot to the right."/>
      </Event>
      <Event time="2023-11-22T17:40:19.27" id="{ED76EE08-276D-4BDA-AF58-DB28D222D43C}">
        <Attribution userId="S::cllee@cpp.edu::90af850c-648f-4f56-a7e2-140fd6bf859f" userName="Carol Lee" userProvider="AD"/>
        <Progress percentComplete="100"/>
      </Event>
    </History>
  </Task>
  <Task id="{B3235054-407B-4208-8B3A-14BB5F892E18}">
    <Anchor>
      <Comment id="{8ACF9C04-0841-424D-B0EB-6B7712590B9B}"/>
    </Anchor>
    <History>
      <Event time="2023-11-21T20:56:47.18" id="{80D77DF7-F852-4F84-AE7A-7CCA912C71D9}">
        <Attribution userId="S::alarrabure@cpp.edu::2761dc8a-b561-418f-b150-b2a0e3bb1007" userName="Anne-Marie L. Larrabure" userProvider="AD"/>
        <Anchor>
          <Comment id="{8ACF9C04-0841-424D-B0EB-6B7712590B9B}"/>
        </Anchor>
        <Create/>
      </Event>
      <Event time="2023-11-21T20:56:47.18" id="{B8ED9197-6AE4-41B0-8273-7C66CA774DB3}">
        <Attribution userId="S::alarrabure@cpp.edu::2761dc8a-b561-418f-b150-b2a0e3bb1007" userName="Anne-Marie L. Larrabure" userProvider="AD"/>
        <Anchor>
          <Comment id="{8ACF9C04-0841-424D-B0EB-6B7712590B9B}"/>
        </Anchor>
        <Assign userId="S::cllee@cpp.edu::90af850c-648f-4f56-a7e2-140fd6bf859f" userName="Carol Lee" userProvider="AD"/>
      </Event>
      <Event time="2023-11-21T20:56:47.18" id="{811C756D-842B-48CE-BF22-EF34837A8490}">
        <Attribution userId="S::alarrabure@cpp.edu::2761dc8a-b561-418f-b150-b2a0e3bb1007" userName="Anne-Marie L. Larrabure" userProvider="AD"/>
        <Anchor>
          <Comment id="{8ACF9C04-0841-424D-B0EB-6B7712590B9B}"/>
        </Anchor>
        <SetTitle title="@Carol Lee Added PCR08"/>
      </Event>
    </History>
  </Task>
  <Task id="{60701BD7-02BA-4E76-B663-E40AC70C5B13}">
    <Anchor>
      <Comment id="{D1C4AEA1-8F1C-4F64-9EBB-7BE37882CB06}"/>
    </Anchor>
    <History>
      <Event time="2023-11-21T20:54:22.04" id="{4F02FE6E-8A56-49F4-B98C-31AFB54B8BD0}">
        <Attribution userId="S::alarrabure@cpp.edu::2761dc8a-b561-418f-b150-b2a0e3bb1007" userName="Anne-Marie L. Larrabure" userProvider="AD"/>
        <Anchor>
          <Comment id="{D1C4AEA1-8F1C-4F64-9EBB-7BE37882CB06}"/>
        </Anchor>
        <Create/>
      </Event>
      <Event time="2023-11-21T20:54:22.04" id="{B7695BB5-AB6E-4A7E-9285-9A1243EBDCE7}">
        <Attribution userId="S::alarrabure@cpp.edu::2761dc8a-b561-418f-b150-b2a0e3bb1007" userName="Anne-Marie L. Larrabure" userProvider="AD"/>
        <Anchor>
          <Comment id="{D1C4AEA1-8F1C-4F64-9EBB-7BE37882CB06}"/>
        </Anchor>
        <Assign userId="S::cllee@cpp.edu::90af850c-648f-4f56-a7e2-140fd6bf859f" userName="Carol Lee" userProvider="AD"/>
      </Event>
      <Event time="2023-11-21T20:54:22.04" id="{DFA1C054-9B82-481F-83C4-85B94EA41B1E}">
        <Attribution userId="S::alarrabure@cpp.edu::2761dc8a-b561-418f-b150-b2a0e3bb1007" userName="Anne-Marie L. Larrabure" userProvider="AD"/>
        <Anchor>
          <Comment id="{D1C4AEA1-8F1C-4F64-9EBB-7BE37882CB06}"/>
        </Anchor>
        <SetTitle title="@Carol Lee Recommend zeroing it out at the Univ Level."/>
      </Event>
    </History>
  </Task>
</Tasks>
</file>

<file path=xl/documenttasks/documenttask4.xml><?xml version="1.0" encoding="utf-8"?>
<Tasks xmlns="http://schemas.microsoft.com/office/tasks/2019/documenttasks">
  <Task id="{34865F42-2ABA-4025-9769-383DFFDD36F3}">
    <Anchor>
      <Comment id="{94344000-C847-4EAB-B14E-38ED6C9A3F47}"/>
    </Anchor>
    <History>
      <Event time="2023-11-22T16:34:45.60" id="{726794CC-9192-4B16-B1E4-77F62F942B7F}">
        <Attribution userId="S::alarrabure@cpp.edu::2761dc8a-b561-418f-b150-b2a0e3bb1007" userName="Anne-Marie L. Larrabure" userProvider="AD"/>
        <Anchor>
          <Comment id="{94344000-C847-4EAB-B14E-38ED6C9A3F47}"/>
        </Anchor>
        <Create/>
      </Event>
      <Event time="2023-11-22T16:34:45.60" id="{988CF9FE-301F-41C9-90A3-19DC7EA3385C}">
        <Attribution userId="S::alarrabure@cpp.edu::2761dc8a-b561-418f-b150-b2a0e3bb1007" userName="Anne-Marie L. Larrabure" userProvider="AD"/>
        <Anchor>
          <Comment id="{94344000-C847-4EAB-B14E-38ED6C9A3F47}"/>
        </Anchor>
        <Assign userId="S::cllee@cpp.edu::90af850c-648f-4f56-a7e2-140fd6bf859f" userName="Carol Lee" userProvider="AD"/>
      </Event>
      <Event time="2023-11-22T16:34:45.60" id="{71F00181-828A-4146-9F54-DFEAE581D258}">
        <Attribution userId="S::alarrabure@cpp.edu::2761dc8a-b561-418f-b150-b2a0e3bb1007" userName="Anne-Marie L. Larrabure" userProvider="AD"/>
        <Anchor>
          <Comment id="{94344000-C847-4EAB-B14E-38ED6C9A3F47}"/>
        </Anchor>
        <SetTitle title="@Carol Lee Should TY006 ($31,642) and TY017 ($8,550) also be included?"/>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30480</xdr:rowOff>
    </xdr:from>
    <xdr:to>
      <xdr:col>1</xdr:col>
      <xdr:colOff>502598</xdr:colOff>
      <xdr:row>2</xdr:row>
      <xdr:rowOff>22860</xdr:rowOff>
    </xdr:to>
    <xdr:pic>
      <xdr:nvPicPr>
        <xdr:cNvPr id="2" name="Picture 1">
          <a:extLst>
            <a:ext uri="{FF2B5EF4-FFF2-40B4-BE49-F238E27FC236}">
              <a16:creationId xmlns:a16="http://schemas.microsoft.com/office/drawing/2014/main" id="{A26367FF-001C-BBAB-13CE-3EF07C86777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0480"/>
          <a:ext cx="2079938"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30480</xdr:rowOff>
    </xdr:from>
    <xdr:to>
      <xdr:col>0</xdr:col>
      <xdr:colOff>2061523</xdr:colOff>
      <xdr:row>2</xdr:row>
      <xdr:rowOff>31750</xdr:rowOff>
    </xdr:to>
    <xdr:pic>
      <xdr:nvPicPr>
        <xdr:cNvPr id="2" name="Picture 1">
          <a:extLst>
            <a:ext uri="{FF2B5EF4-FFF2-40B4-BE49-F238E27FC236}">
              <a16:creationId xmlns:a16="http://schemas.microsoft.com/office/drawing/2014/main" id="{444E3EEF-16A2-48D4-AC6E-BEB0043652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0480"/>
          <a:ext cx="2079938" cy="647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30480</xdr:rowOff>
    </xdr:from>
    <xdr:to>
      <xdr:col>1</xdr:col>
      <xdr:colOff>319718</xdr:colOff>
      <xdr:row>2</xdr:row>
      <xdr:rowOff>22860</xdr:rowOff>
    </xdr:to>
    <xdr:pic>
      <xdr:nvPicPr>
        <xdr:cNvPr id="2" name="Picture 1">
          <a:extLst>
            <a:ext uri="{FF2B5EF4-FFF2-40B4-BE49-F238E27FC236}">
              <a16:creationId xmlns:a16="http://schemas.microsoft.com/office/drawing/2014/main" id="{F50C5BB4-0C6F-43BC-B600-1C86F4ED3F5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0480"/>
          <a:ext cx="2079938" cy="6477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30480</xdr:rowOff>
    </xdr:from>
    <xdr:to>
      <xdr:col>1</xdr:col>
      <xdr:colOff>319718</xdr:colOff>
      <xdr:row>2</xdr:row>
      <xdr:rowOff>22860</xdr:rowOff>
    </xdr:to>
    <xdr:pic>
      <xdr:nvPicPr>
        <xdr:cNvPr id="2" name="Picture 1">
          <a:extLst>
            <a:ext uri="{FF2B5EF4-FFF2-40B4-BE49-F238E27FC236}">
              <a16:creationId xmlns:a16="http://schemas.microsoft.com/office/drawing/2014/main" id="{505A6B3C-2668-474E-8728-7C11D8B5B77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0480"/>
          <a:ext cx="2087558" cy="647700"/>
        </a:xfrm>
        <a:prstGeom prst="rect">
          <a:avLst/>
        </a:prstGeom>
        <a:noFill/>
        <a:ln>
          <a:noFill/>
        </a:ln>
      </xdr:spPr>
    </xdr:pic>
    <xdr:clientData/>
  </xdr:twoCellAnchor>
  <xdr:twoCellAnchor editAs="oneCell">
    <xdr:from>
      <xdr:col>15</xdr:col>
      <xdr:colOff>19049</xdr:colOff>
      <xdr:row>3</xdr:row>
      <xdr:rowOff>28575</xdr:rowOff>
    </xdr:from>
    <xdr:to>
      <xdr:col>26</xdr:col>
      <xdr:colOff>343906</xdr:colOff>
      <xdr:row>9</xdr:row>
      <xdr:rowOff>38100</xdr:rowOff>
    </xdr:to>
    <xdr:pic>
      <xdr:nvPicPr>
        <xdr:cNvPr id="3" name="Picture 2" descr="Fund: PCR07 - CAPITAL PROJECT MANAGEMENT &#10;&#10;Beginning Balance: -1,423,534.51&#10;Revenue: -400,412.25&#10;Expenditure: 1,427,433.43&#10;Total: -396,513.33">
          <a:extLst>
            <a:ext uri="{FF2B5EF4-FFF2-40B4-BE49-F238E27FC236}">
              <a16:creationId xmlns:a16="http://schemas.microsoft.com/office/drawing/2014/main" id="{4E27471A-B22D-C6D6-D20A-B019072CB5BD}"/>
            </a:ext>
          </a:extLst>
        </xdr:cNvPr>
        <xdr:cNvPicPr>
          <a:picLocks noChangeAspect="1"/>
        </xdr:cNvPicPr>
      </xdr:nvPicPr>
      <xdr:blipFill>
        <a:blip xmlns:r="http://schemas.openxmlformats.org/officeDocument/2006/relationships" r:embed="rId2"/>
        <a:stretch>
          <a:fillRect/>
        </a:stretch>
      </xdr:blipFill>
      <xdr:spPr>
        <a:xfrm>
          <a:off x="13849349" y="914400"/>
          <a:ext cx="9221207" cy="1885950"/>
        </a:xfrm>
        <a:prstGeom prst="rect">
          <a:avLst/>
        </a:prstGeom>
      </xdr:spPr>
    </xdr:pic>
    <xdr:clientData/>
  </xdr:twoCellAnchor>
  <xdr:twoCellAnchor editAs="oneCell">
    <xdr:from>
      <xdr:col>15</xdr:col>
      <xdr:colOff>0</xdr:colOff>
      <xdr:row>11</xdr:row>
      <xdr:rowOff>0</xdr:rowOff>
    </xdr:from>
    <xdr:to>
      <xdr:col>26</xdr:col>
      <xdr:colOff>589364</xdr:colOff>
      <xdr:row>19</xdr:row>
      <xdr:rowOff>104536</xdr:rowOff>
    </xdr:to>
    <xdr:pic>
      <xdr:nvPicPr>
        <xdr:cNvPr id="4" name="Picture 3" descr="Fund: PCR08 - CAP PROJ UTIL CONNECTION FEES &#10;&#10;Beggining Balance: -843,000.00 &#10;Total: -834,000.00">
          <a:extLst>
            <a:ext uri="{FF2B5EF4-FFF2-40B4-BE49-F238E27FC236}">
              <a16:creationId xmlns:a16="http://schemas.microsoft.com/office/drawing/2014/main" id="{76CAD803-AF18-74B0-A8CF-264111CF6BCE}"/>
            </a:ext>
          </a:extLst>
        </xdr:cNvPr>
        <xdr:cNvPicPr>
          <a:picLocks noChangeAspect="1"/>
        </xdr:cNvPicPr>
      </xdr:nvPicPr>
      <xdr:blipFill>
        <a:blip xmlns:r="http://schemas.openxmlformats.org/officeDocument/2006/relationships" r:embed="rId3"/>
        <a:stretch>
          <a:fillRect/>
        </a:stretch>
      </xdr:blipFill>
      <xdr:spPr>
        <a:xfrm>
          <a:off x="13830300" y="3238500"/>
          <a:ext cx="9485714" cy="19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30480</xdr:rowOff>
    </xdr:from>
    <xdr:to>
      <xdr:col>1</xdr:col>
      <xdr:colOff>121598</xdr:colOff>
      <xdr:row>2</xdr:row>
      <xdr:rowOff>22860</xdr:rowOff>
    </xdr:to>
    <xdr:pic>
      <xdr:nvPicPr>
        <xdr:cNvPr id="2" name="Picture 1">
          <a:extLst>
            <a:ext uri="{FF2B5EF4-FFF2-40B4-BE49-F238E27FC236}">
              <a16:creationId xmlns:a16="http://schemas.microsoft.com/office/drawing/2014/main" id="{A96C1F2D-8307-40AB-8277-93ABDBE67F1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0480"/>
          <a:ext cx="2079938" cy="6477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30480</xdr:rowOff>
    </xdr:from>
    <xdr:to>
      <xdr:col>1</xdr:col>
      <xdr:colOff>319718</xdr:colOff>
      <xdr:row>2</xdr:row>
      <xdr:rowOff>22860</xdr:rowOff>
    </xdr:to>
    <xdr:pic>
      <xdr:nvPicPr>
        <xdr:cNvPr id="2" name="Picture 1">
          <a:extLst>
            <a:ext uri="{FF2B5EF4-FFF2-40B4-BE49-F238E27FC236}">
              <a16:creationId xmlns:a16="http://schemas.microsoft.com/office/drawing/2014/main" id="{AEB531D6-7B11-440A-A8EB-45CDA67E5E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0480"/>
          <a:ext cx="2079938" cy="6477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Carol Lee" id="{124092AE-EF83-4D52-98C1-C4B78A8A60AE}" userId="cllee@cpp.edu" providerId="PeoplePicker"/>
  <person displayName="Anne-Marie L. Larrabure" id="{ABFF70F7-4835-4E35-8E53-85713F801B9D}" userId="alarrabure@cpp.edu" providerId="PeoplePicker"/>
  <person displayName="Carol Lee" id="{16E3A031-B487-4534-ADA6-77CDCC34C259}" userId="S::cllee@cpp.edu::90af850c-648f-4f56-a7e2-140fd6bf859f" providerId="AD"/>
  <person displayName="Anne-Marie L. Larrabure" id="{B065C514-E7A0-4EC1-873B-6EDBC22E6689}" userId="S::alarrabure@cpp.edu::2761dc8a-b561-418f-b150-b2a0e3bb100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6" dT="2023-11-22T22:52:33.17" personId="{16E3A031-B487-4534-ADA6-77CDCC34C259}" id="{3D3A4117-BFA3-453E-9F92-1A93389DD989}">
    <text>Moved from 00000</text>
  </threadedComment>
  <threadedComment ref="D43" dT="2023-11-22T18:10:06.17" personId="{B065C514-E7A0-4EC1-873B-6EDBC22E6689}" id="{9F11D7FE-8CB5-4210-AA58-0C61F14A23EC}" done="1">
    <text>Will need to work with the division to complete a prior year adjustment.</text>
  </threadedComment>
  <threadedComment ref="E56" dT="2023-11-22T17:03:23.55" personId="{B065C514-E7A0-4EC1-873B-6EDBC22E6689}" id="{7EC5B6BF-41E4-4B63-99A9-F5C70FEE73A8}">
    <text>This is tied to Project Rebound (IFT #21-0900). We will need to work with the department to do a prior year adjustment to move $1,109 in expenses to another Project Rebound CFS.</text>
  </threadedComment>
  <threadedComment ref="E59" dT="2023-11-22T17:00:29.71" personId="{B065C514-E7A0-4EC1-873B-6EDBC22E6689}" id="{F03847F5-9F12-4E4E-B91F-19DA272E5B38}">
    <text>@Carol Lee What is the source of funding?</text>
    <mentions>
      <mention mentionpersonId="{124092AE-EF83-4D52-98C1-C4B78A8A60AE}" mentionId="{5A4F0390-95BA-4777-B1DA-492B8EA5228D}" startIndex="0" length="10"/>
    </mentions>
  </threadedComment>
  <threadedComment ref="E59" dT="2023-11-22T17:03:14.70" personId="{16E3A031-B487-4534-ADA6-77CDCC34C259}" id="{E605B55E-BEFD-4E47-ACA3-FF80090F4E58}" parentId="{F03847F5-9F12-4E4E-B91F-19DA272E5B38}">
    <text>This is Renaissance Scholar.  It needs its own class code</text>
  </threadedComment>
  <threadedComment ref="E59" dT="2023-11-22T17:31:04.94" personId="{B065C514-E7A0-4EC1-873B-6EDBC22E6689}" id="{F6997A64-2210-4B4D-9E17-D45917FC42BB}" parentId="{F03847F5-9F12-4E4E-B91F-19DA272E5B38}">
    <text>C3189 already exists</text>
  </threadedComment>
  <threadedComment ref="A69" dT="2023-11-22T16:57:21.23" personId="{B065C514-E7A0-4EC1-873B-6EDBC22E6689}" id="{9A019C07-93E4-4009-8F89-93E97FC4D00A}" done="1">
    <text>@Carol Lee Temp allocations had been made to Academic Affairs to cover the search costs for executive leadership (Deans, Provost, etc). My understanding is that President Coley approved these allocations starting in FY15/16. Starting in FY18/19, these allocations were identified as Designated, but the source of the funding did not come from the CO.</text>
    <mentions>
      <mention mentionpersonId="{124092AE-EF83-4D52-98C1-C4B78A8A60AE}" mentionId="{516B8149-29CB-486D-97CE-215A5EEE4714}" startIndex="0" length="10"/>
    </mentions>
  </threadedComment>
  <threadedComment ref="A69" dT="2023-11-22T17:06:21.58" personId="{16E3A031-B487-4534-ADA6-77CDCC34C259}" id="{6F5E974D-8A3A-4DE6-B7AB-E69887DC18E8}" parentId="{9A019C07-93E4-4009-8F89-93E97FC4D00A}">
    <text>@Anne-Marie L. Larrabure Moving the big deficit to Undesignated doesn't help us now</text>
    <mentions>
      <mention mentionpersonId="{ABFF70F7-4835-4E35-8E53-85713F801B9D}" mentionId="{54434298-3BEE-425F-B6E1-928BAD0FFFFB}" startIndex="0" length="24"/>
    </mentions>
  </threadedComment>
  <threadedComment ref="A69" dT="2023-11-22T22:08:59.16" personId="{B065C514-E7A0-4EC1-873B-6EDBC22E6689}" id="{098DF3DF-553A-42E4-B5D1-3A965D20854F}" parentId="{9A019C07-93E4-4009-8F89-93E97FC4D00A}">
    <text>Just sharing the background</text>
  </threadedComment>
</ThreadedComments>
</file>

<file path=xl/threadedComments/threadedComment2.xml><?xml version="1.0" encoding="utf-8"?>
<ThreadedComments xmlns="http://schemas.microsoft.com/office/spreadsheetml/2018/threadedcomments" xmlns:x="http://schemas.openxmlformats.org/spreadsheetml/2006/main">
  <threadedComment ref="C16" dT="2023-11-22T19:07:34.12" personId="{B065C514-E7A0-4EC1-873B-6EDBC22E6689}" id="{AC41CFFD-800B-4508-B59F-00283D735D7D}">
    <text>CFwd confirmed</text>
  </threadedComment>
  <threadedComment ref="H16" dT="2023-11-22T19:07:50.27" personId="{B065C514-E7A0-4EC1-873B-6EDBC22E6689}" id="{B8F9435D-F816-4D25-9836-9659B1A875C0}">
    <text>CFwd confirmed</text>
  </threadedComment>
  <threadedComment ref="E95" dT="2023-11-22T18:08:38.79" personId="{B065C514-E7A0-4EC1-873B-6EDBC22E6689}" id="{B697597A-020F-4D0B-84ED-7CB36D3DE3E2}">
    <text>Will need to work with the division to complete a prior year adjustment.</text>
  </threadedComment>
  <threadedComment ref="E97" dT="2023-11-22T18:08:01.93" personId="{B065C514-E7A0-4EC1-873B-6EDBC22E6689}" id="{43E2074D-9FF0-4EBB-B86D-3F19D145473D}">
    <text>Will need to work with the division to complete a prior year adjustment.</text>
  </threadedComment>
  <threadedComment ref="B107" dT="2023-11-22T18:01:40.85" personId="{B065C514-E7A0-4EC1-873B-6EDBC22E6689}" id="{A89A3073-98A6-4383-9AC2-DD64EB23A090}">
    <text>@Carol Lee I believe this should be C4418 - Medical Services</text>
    <mentions>
      <mention mentionpersonId="{124092AE-EF83-4D52-98C1-C4B78A8A60AE}" mentionId="{F9361F17-EA9B-401B-80DC-70DC18C5D30C}" startIndex="0" length="10"/>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E10" dT="2023-11-22T16:48:01.14" personId="{B065C514-E7A0-4EC1-873B-6EDBC22E6689}" id="{9463E39C-472F-4781-8351-9F8AE977E1DF}">
    <text>Should be $351 to balance to the fund balance</text>
  </threadedComment>
  <threadedComment ref="I10" dT="2023-11-22T16:40:59.63" personId="{16E3A031-B487-4534-ADA6-77CDCC34C259}" id="{B8357F4A-C795-4CF5-9EF8-174EFDCBC08C}" done="1">
    <text>@Anne-Marie L. Larrabure should this be $4425 instead?</text>
    <mentions>
      <mention mentionpersonId="{ABFF70F7-4835-4E35-8E53-85713F801B9D}" mentionId="{CE5DDDF7-5932-4000-9BA5-7088024387E5}" startIndex="0" length="24"/>
    </mentions>
  </threadedComment>
  <threadedComment ref="I10" dT="2023-11-22T16:50:40.66" personId="{B065C514-E7A0-4EC1-873B-6EDBC22E6689}" id="{1345F4FB-80A4-47CA-AB38-C2BAA1AEC002}" parentId="{B8357F4A-C795-4CF5-9EF8-174EFDCBC08C}">
    <text>@Carol Lee Yes, it should be $4,425.</text>
    <mentions>
      <mention mentionpersonId="{124092AE-EF83-4D52-98C1-C4B78A8A60AE}" mentionId="{2255F077-63CE-42D0-B4D5-87DF9E150ECE}" startIndex="0" length="10"/>
    </mentions>
  </threadedComment>
  <threadedComment ref="G11" dT="2023-11-21T20:53:47.77" personId="{B065C514-E7A0-4EC1-873B-6EDBC22E6689}" id="{A064B4AE-91FF-430B-97CA-D536C9B60C97}" done="1">
    <text>@Carol Lee Based on the Fund Balance, the CFwd allocation should be $396,513. See screenshot to the right.</text>
    <mentions>
      <mention mentionpersonId="{124092AE-EF83-4D52-98C1-C4B78A8A60AE}" mentionId="{C3E13E7C-5C8E-4857-AE1C-D86F9DC71628}" startIndex="0" length="10"/>
    </mentions>
  </threadedComment>
  <threadedComment ref="G11" dT="2023-11-22T16:39:22.31" personId="{16E3A031-B487-4534-ADA6-77CDCC34C259}" id="{703B926F-2DE5-44D3-B679-24B57DC7692D}" parentId="{A064B4AE-91FF-430B-97CA-D536C9B60C97}">
    <text>How do we determine if the entire fund balance should go to the division or if the difference should go to the University Level like PCR06?</text>
  </threadedComment>
  <threadedComment ref="G11" dT="2023-11-22T17:10:55.09" personId="{B065C514-E7A0-4EC1-873B-6EDBC22E6689}" id="{9E3BB62C-94BD-4159-BDA8-05AA395E4558}" parentId="{A064B4AE-91FF-430B-97CA-D536C9B60C97}">
    <text>@Carol Lee These funds are strictly to recover project mgnt fees to manage capital projects. All of the funds go to Facilities.</text>
    <mentions>
      <mention mentionpersonId="{124092AE-EF83-4D52-98C1-C4B78A8A60AE}" mentionId="{DF1E50D5-3E76-4192-80CD-395CA89489ED}" startIndex="0" length="10"/>
    </mentions>
  </threadedComment>
  <threadedComment ref="B17" dT="2023-11-22T16:27:50.30" personId="{B065C514-E7A0-4EC1-873B-6EDBC22E6689}" id="{1A9B1FDA-49E7-4AE1-A82C-B7AC7B8A37AF}">
    <text>Augmented Univ Level CFwd to match Fund Balance</text>
  </threadedComment>
  <threadedComment ref="C17" dT="2023-11-22T16:27:43.44" personId="{B065C514-E7A0-4EC1-873B-6EDBC22E6689}" id="{FB34A765-3F09-479D-87E9-B91258895245}">
    <text>Augmented Univ Level CFwd to match Fund Balance</text>
  </threadedComment>
  <threadedComment ref="D17" dT="2023-11-21T21:34:49.59" personId="{B065C514-E7A0-4EC1-873B-6EDBC22E6689}" id="{1F83C651-A3E7-4920-8882-E88E1DB4E434}">
    <text>Augmented Univ Level CFwd to match Fund Balance</text>
  </threadedComment>
  <threadedComment ref="E17" dT="2023-11-21T20:58:35.71" personId="{B065C514-E7A0-4EC1-873B-6EDBC22E6689}" id="{8268B4BB-1D88-4977-BBF3-74FD76984209}">
    <text>CFwd confirmed</text>
  </threadedComment>
  <threadedComment ref="F17" dT="2023-11-21T20:58:20.19" personId="{B065C514-E7A0-4EC1-873B-6EDBC22E6689}" id="{FDC38030-F4B3-424A-9B2E-40EEB339FAC9}" done="1">
    <text>CFwd confirmed</text>
  </threadedComment>
  <threadedComment ref="F17" dT="2023-11-22T16:37:56.14" personId="{16E3A031-B487-4534-ADA6-77CDCC34C259}" id="{E503A390-71E9-48A9-AC0C-BE5C550C9AC6}" parentId="{FDC38030-F4B3-424A-9B2E-40EEB339FAC9}">
    <text>Shouldn't we tie the total to the fund balance $31,577?</text>
  </threadedComment>
  <threadedComment ref="F17" dT="2023-11-22T17:15:41.13" personId="{B065C514-E7A0-4EC1-873B-6EDBC22E6689}" id="{3D9FFC1E-38EC-4E72-9137-6ECAFE64EB80}" parentId="{FDC38030-F4B3-424A-9B2E-40EEB339FAC9}">
    <text xml:space="preserve">@Carol Lee I believe the variance of $6,536 is tied to a transaction that we tried to correct in a previous year. I need to do further research in how to get this corrected. I believe we should allocate the CFwd reflected at the University level based on FY22/23 activity. </text>
    <mentions>
      <mention mentionpersonId="{124092AE-EF83-4D52-98C1-C4B78A8A60AE}" mentionId="{43649A10-D25A-4195-96D9-7C930EE5A34A}" startIndex="0" length="10"/>
    </mentions>
  </threadedComment>
  <threadedComment ref="G17" dT="2023-11-21T20:54:22.04" personId="{B065C514-E7A0-4EC1-873B-6EDBC22E6689}" id="{D1C4AEA1-8F1C-4F64-9EBB-7BE37882CB06}">
    <text>@Carol Lee Recommend zeroing it out at the Univ Level.</text>
    <mentions>
      <mention mentionpersonId="{124092AE-EF83-4D52-98C1-C4B78A8A60AE}" mentionId="{182A907F-91CB-4E5E-BBAE-5C3BE52AA5FB}" startIndex="0" length="10"/>
    </mentions>
  </threadedComment>
  <threadedComment ref="H17" dT="2023-11-21T20:56:47.19" personId="{B065C514-E7A0-4EC1-873B-6EDBC22E6689}" id="{8ACF9C04-0841-424D-B0EB-6B7712590B9B}">
    <text>@Carol Lee Added PCR08</text>
    <mentions>
      <mention mentionpersonId="{124092AE-EF83-4D52-98C1-C4B78A8A60AE}" mentionId="{327F6D00-2DA6-4F2E-ACB7-084DF1FABB9F}" startIndex="0" length="10"/>
    </mentions>
  </threadedComment>
  <threadedComment ref="H17" dT="2023-11-22T20:10:34.31" personId="{16E3A031-B487-4534-ADA6-77CDCC34C259}" id="{C757FA23-3400-4263-A8D7-9062FA8C482B}" parentId="{8ACF9C04-0841-424D-B0EB-6B7712590B9B}">
    <text>DEPT ID 96100</text>
  </threadedComment>
</ThreadedComments>
</file>

<file path=xl/threadedComments/threadedComment4.xml><?xml version="1.0" encoding="utf-8"?>
<ThreadedComments xmlns="http://schemas.microsoft.com/office/spreadsheetml/2018/threadedcomments" xmlns:x="http://schemas.openxmlformats.org/spreadsheetml/2006/main">
  <threadedComment ref="A3" dT="2023-11-22T16:34:45.60" personId="{B065C514-E7A0-4EC1-873B-6EDBC22E6689}" id="{94344000-C847-4EAB-B14E-38ED6C9A3F47}">
    <text>@Carol Lee Should TY006 ($31,642) and TY017 ($8,550) also be included?</text>
    <mentions>
      <mention mentionpersonId="{124092AE-EF83-4D52-98C1-C4B78A8A60AE}" mentionId="{E064C128-B058-4002-8FB4-9DA71BE6C4E6}" startIndex="0" length="10"/>
    </mentions>
  </threadedComment>
  <threadedComment ref="A3" dT="2023-11-22T16:49:23.12" personId="{16E3A031-B487-4534-ADA6-77CDCC34C259}" id="{4EB80F24-EB6F-4C82-9A52-7324BA86AFF8}" parentId="{94344000-C847-4EAB-B14E-38ED6C9A3F47}">
    <text xml:space="preserve">@Anne-Marie L. Larrabure Added.  Does it matter the fund balances for these are debits?
</text>
    <mentions>
      <mention mentionpersonId="{ABFF70F7-4835-4E35-8E53-85713F801B9D}" mentionId="{4F6DD7D7-B1DD-41AD-B128-3DF6FC1B41E4}" startIndex="0" length="24"/>
    </mentions>
  </threadedComment>
  <threadedComment ref="A3" dT="2023-11-22T17:07:04.39" personId="{B065C514-E7A0-4EC1-873B-6EDBC22E6689}" id="{F99876F2-573A-4A59-853B-916B9B68383E}" parentId="{94344000-C847-4EAB-B14E-38ED6C9A3F47}">
    <text>Lottery Funds are weird for lack of a better word. It would be easier to explain verbally.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microsoft.com/office/2019/04/relationships/documenttask" Target="../documenttasks/documenttask2.xm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microsoft.com/office/2019/04/relationships/documenttask" Target="../documenttasks/documenttask3.xml"/><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9/04/relationships/documenttask" Target="../documenttasks/documenttask4.xml"/><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BE94-D1AC-44BD-8969-722134690292}">
  <sheetPr>
    <tabColor rgb="FFFFC000"/>
    <pageSetUpPr fitToPage="1"/>
  </sheetPr>
  <dimension ref="A1:Q41"/>
  <sheetViews>
    <sheetView topLeftCell="A2" workbookViewId="0">
      <selection activeCell="K20" sqref="K20"/>
    </sheetView>
  </sheetViews>
  <sheetFormatPr defaultColWidth="8.85546875" defaultRowHeight="15" x14ac:dyDescent="0.25"/>
  <cols>
    <col min="1" max="1" width="23.5703125" style="2" customWidth="1"/>
    <col min="2" max="2" width="13.85546875" style="1" customWidth="1"/>
    <col min="3" max="4" width="12.7109375" style="1" customWidth="1"/>
    <col min="5" max="5" width="13.85546875" style="1" customWidth="1"/>
    <col min="6" max="6" width="13.140625" style="1" customWidth="1"/>
    <col min="7" max="7" width="11.28515625" style="1" customWidth="1"/>
    <col min="8" max="8" width="11.140625" style="1" customWidth="1"/>
    <col min="9" max="9" width="12.85546875" style="1" customWidth="1"/>
    <col min="10" max="10" width="13.28515625" style="1" customWidth="1"/>
    <col min="11" max="11" width="12.5703125" style="1" customWidth="1"/>
    <col min="12" max="13" width="11.28515625" style="1" customWidth="1"/>
    <col min="14" max="15" width="14.28515625" style="1" customWidth="1"/>
    <col min="16" max="16" width="3.28515625" style="2" customWidth="1"/>
    <col min="17" max="17" width="11" style="2" bestFit="1" customWidth="1"/>
    <col min="18" max="18" width="22.85546875" style="2" bestFit="1" customWidth="1"/>
    <col min="19" max="20" width="8.85546875" style="2"/>
    <col min="21" max="21" width="31.85546875" style="2" customWidth="1"/>
    <col min="22" max="16384" width="8.85546875" style="2"/>
  </cols>
  <sheetData>
    <row r="1" spans="1:17" ht="25.9" customHeight="1" x14ac:dyDescent="0.4">
      <c r="A1" s="4"/>
      <c r="O1" s="37"/>
      <c r="Q1" s="3"/>
    </row>
    <row r="2" spans="1:17" ht="25.9" customHeight="1" x14ac:dyDescent="0.3">
      <c r="A2" s="4"/>
      <c r="O2" s="12"/>
      <c r="P2" s="11"/>
      <c r="Q2" s="11"/>
    </row>
    <row r="3" spans="1:17" ht="18.75" customHeight="1" x14ac:dyDescent="0.3">
      <c r="A3" s="4" t="s">
        <v>166</v>
      </c>
      <c r="O3" s="12" t="s">
        <v>101</v>
      </c>
      <c r="P3" s="11"/>
      <c r="Q3" s="11"/>
    </row>
    <row r="4" spans="1:17" ht="20.100000000000001" customHeight="1" x14ac:dyDescent="0.3">
      <c r="A4" s="29">
        <v>45252</v>
      </c>
      <c r="P4" s="5"/>
      <c r="Q4" s="5"/>
    </row>
    <row r="5" spans="1:17" x14ac:dyDescent="0.25">
      <c r="B5" s="73" t="s">
        <v>0</v>
      </c>
      <c r="C5" s="74"/>
      <c r="D5" s="74"/>
      <c r="E5" s="75"/>
      <c r="F5" s="73" t="s">
        <v>1</v>
      </c>
      <c r="G5" s="74"/>
      <c r="H5" s="74"/>
      <c r="I5" s="75"/>
      <c r="J5" s="73" t="s">
        <v>2</v>
      </c>
      <c r="K5" s="74"/>
      <c r="L5" s="74"/>
      <c r="M5" s="74"/>
      <c r="N5" s="74"/>
      <c r="O5" s="65" t="s">
        <v>134</v>
      </c>
    </row>
    <row r="6" spans="1:17" x14ac:dyDescent="0.25">
      <c r="B6" s="53" t="s">
        <v>3</v>
      </c>
      <c r="C6" s="73" t="s">
        <v>4</v>
      </c>
      <c r="D6" s="74"/>
      <c r="E6" s="75"/>
      <c r="F6" s="53" t="s">
        <v>3</v>
      </c>
      <c r="G6" s="73" t="s">
        <v>4</v>
      </c>
      <c r="H6" s="74"/>
      <c r="I6" s="75"/>
      <c r="J6" s="73" t="s">
        <v>3</v>
      </c>
      <c r="K6" s="75"/>
      <c r="L6" s="73" t="s">
        <v>4</v>
      </c>
      <c r="M6" s="74"/>
      <c r="N6" s="74"/>
      <c r="O6" s="66" t="s">
        <v>100</v>
      </c>
    </row>
    <row r="7" spans="1:17" x14ac:dyDescent="0.25">
      <c r="B7" s="1">
        <v>-1</v>
      </c>
      <c r="C7" s="1">
        <v>-2</v>
      </c>
      <c r="D7" s="1">
        <v>-3</v>
      </c>
      <c r="E7" s="13"/>
      <c r="F7" s="1">
        <v>-4</v>
      </c>
      <c r="G7" s="1">
        <v>-5</v>
      </c>
      <c r="H7" s="1">
        <v>-6</v>
      </c>
      <c r="I7" s="13"/>
      <c r="J7" s="1">
        <v>-7</v>
      </c>
      <c r="K7" s="1">
        <v>-8</v>
      </c>
      <c r="L7" s="1">
        <v>-9</v>
      </c>
      <c r="M7" s="1">
        <v>-10</v>
      </c>
      <c r="N7" s="13"/>
      <c r="O7" s="62"/>
    </row>
    <row r="8" spans="1:17" ht="52.15" customHeight="1" thickBot="1" x14ac:dyDescent="0.3">
      <c r="A8" s="8"/>
      <c r="B8" s="9" t="s">
        <v>102</v>
      </c>
      <c r="C8" s="9" t="s">
        <v>103</v>
      </c>
      <c r="D8" s="9" t="s">
        <v>204</v>
      </c>
      <c r="E8" s="14" t="s">
        <v>104</v>
      </c>
      <c r="F8" s="9" t="s">
        <v>102</v>
      </c>
      <c r="G8" s="9" t="s">
        <v>103</v>
      </c>
      <c r="H8" s="9" t="s">
        <v>204</v>
      </c>
      <c r="I8" s="14" t="s">
        <v>104</v>
      </c>
      <c r="J8" s="9" t="s">
        <v>102</v>
      </c>
      <c r="K8" s="9" t="s">
        <v>150</v>
      </c>
      <c r="L8" s="9" t="s">
        <v>103</v>
      </c>
      <c r="M8" s="9" t="s">
        <v>151</v>
      </c>
      <c r="N8" s="14" t="s">
        <v>104</v>
      </c>
      <c r="O8" s="63" t="s">
        <v>136</v>
      </c>
    </row>
    <row r="9" spans="1:17" ht="19.149999999999999" customHeight="1" x14ac:dyDescent="0.25">
      <c r="A9" s="22"/>
      <c r="B9" s="22"/>
      <c r="C9" s="22"/>
      <c r="D9" s="22"/>
      <c r="E9" s="25"/>
      <c r="F9" s="22"/>
      <c r="G9" s="22"/>
      <c r="H9" s="22"/>
      <c r="I9" s="55" t="s">
        <v>135</v>
      </c>
      <c r="J9" s="22"/>
      <c r="K9" s="22"/>
      <c r="L9" s="22"/>
      <c r="M9" s="22"/>
      <c r="N9" s="55" t="s">
        <v>159</v>
      </c>
      <c r="O9" s="64"/>
    </row>
    <row r="10" spans="1:17" ht="17.45" customHeight="1" x14ac:dyDescent="0.25">
      <c r="A10" s="2" t="s">
        <v>5</v>
      </c>
      <c r="B10" s="15">
        <v>2669077</v>
      </c>
      <c r="C10" s="15">
        <v>-1278190</v>
      </c>
      <c r="D10" s="15">
        <v>9739</v>
      </c>
      <c r="E10" s="26">
        <f>SUM(B10:D10)</f>
        <v>1400626</v>
      </c>
      <c r="F10" s="15">
        <v>50006</v>
      </c>
      <c r="G10" s="15"/>
      <c r="H10" s="15">
        <v>-9739</v>
      </c>
      <c r="I10" s="26">
        <f>SUM(F10:H10)</f>
        <v>40267</v>
      </c>
      <c r="J10" s="15">
        <v>0</v>
      </c>
      <c r="K10" s="15"/>
      <c r="L10" s="15"/>
      <c r="M10" s="15"/>
      <c r="N10" s="26">
        <f>SUM(J10:M10)</f>
        <v>0</v>
      </c>
      <c r="O10" s="34">
        <f>SUM(E10,I10,N10)</f>
        <v>1440893</v>
      </c>
      <c r="P10" s="6"/>
      <c r="Q10" s="38"/>
    </row>
    <row r="11" spans="1:17" ht="17.45" customHeight="1" x14ac:dyDescent="0.25">
      <c r="A11" s="2" t="s">
        <v>6</v>
      </c>
      <c r="B11" s="15">
        <v>7067185</v>
      </c>
      <c r="C11" s="15">
        <v>-12942</v>
      </c>
      <c r="D11" s="15">
        <v>-294200</v>
      </c>
      <c r="E11" s="26">
        <f t="shared" ref="E11:E19" si="0">SUM(B11:D11)</f>
        <v>6760043</v>
      </c>
      <c r="F11" s="15">
        <v>7431689</v>
      </c>
      <c r="G11" s="15">
        <f>-91898+1109</f>
        <v>-90789</v>
      </c>
      <c r="H11" s="15">
        <v>294200</v>
      </c>
      <c r="I11" s="26">
        <f t="shared" ref="I11:I15" si="1">SUM(F11:H11)</f>
        <v>7635100</v>
      </c>
      <c r="J11" s="2">
        <f>2184572+85077+208188+591827+2063563</f>
        <v>5133227</v>
      </c>
      <c r="K11" s="15">
        <f>-784-23740-267732-255058</f>
        <v>-547314</v>
      </c>
      <c r="L11" s="15">
        <v>69496</v>
      </c>
      <c r="M11" s="15"/>
      <c r="N11" s="26">
        <f t="shared" ref="N11:N15" si="2">SUM(J11:M11)</f>
        <v>4655409</v>
      </c>
      <c r="O11" s="34">
        <f t="shared" ref="O11:O15" si="3">SUM(E11,I11,N11)</f>
        <v>19050552</v>
      </c>
      <c r="Q11" s="38"/>
    </row>
    <row r="12" spans="1:17" ht="17.45" customHeight="1" x14ac:dyDescent="0.25">
      <c r="A12" s="2" t="s">
        <v>7</v>
      </c>
      <c r="B12" s="15">
        <v>8430692</v>
      </c>
      <c r="C12" s="15"/>
      <c r="D12" s="15"/>
      <c r="E12" s="26">
        <f t="shared" si="0"/>
        <v>8430692</v>
      </c>
      <c r="F12" s="15">
        <v>0</v>
      </c>
      <c r="G12" s="15"/>
      <c r="H12" s="15"/>
      <c r="I12" s="26">
        <f t="shared" si="1"/>
        <v>0</v>
      </c>
      <c r="J12" s="15">
        <v>0</v>
      </c>
      <c r="K12" s="15"/>
      <c r="L12" s="15"/>
      <c r="M12" s="15"/>
      <c r="N12" s="26">
        <f t="shared" si="2"/>
        <v>0</v>
      </c>
      <c r="O12" s="34">
        <f t="shared" si="3"/>
        <v>8430692</v>
      </c>
      <c r="Q12" s="38"/>
    </row>
    <row r="13" spans="1:17" ht="17.45" customHeight="1" x14ac:dyDescent="0.25">
      <c r="A13" s="2" t="s">
        <v>8</v>
      </c>
      <c r="B13" s="15">
        <v>810730</v>
      </c>
      <c r="C13" s="15"/>
      <c r="D13" s="15"/>
      <c r="E13" s="26">
        <f t="shared" si="0"/>
        <v>810730</v>
      </c>
      <c r="F13" s="15">
        <v>-5889</v>
      </c>
      <c r="G13" s="15"/>
      <c r="H13" s="15"/>
      <c r="I13" s="26">
        <f t="shared" si="1"/>
        <v>-5889</v>
      </c>
      <c r="J13" s="15">
        <v>244185</v>
      </c>
      <c r="K13" s="15">
        <v>-44170</v>
      </c>
      <c r="L13" s="15"/>
      <c r="M13" s="15"/>
      <c r="N13" s="26">
        <f t="shared" si="2"/>
        <v>200015</v>
      </c>
      <c r="O13" s="34">
        <f t="shared" si="3"/>
        <v>1004856</v>
      </c>
      <c r="Q13" s="38"/>
    </row>
    <row r="14" spans="1:17" ht="17.45" customHeight="1" x14ac:dyDescent="0.25">
      <c r="A14" s="2" t="s">
        <v>9</v>
      </c>
      <c r="B14" s="15">
        <v>110798</v>
      </c>
      <c r="C14" s="15">
        <f>1278190+12942</f>
        <v>1291132</v>
      </c>
      <c r="D14" s="15"/>
      <c r="E14" s="26">
        <f t="shared" si="0"/>
        <v>1401930</v>
      </c>
      <c r="F14" s="15">
        <v>4647047</v>
      </c>
      <c r="G14" s="15">
        <f>91898-1109</f>
        <v>90789</v>
      </c>
      <c r="H14" s="15"/>
      <c r="I14" s="26">
        <f t="shared" si="1"/>
        <v>4737836</v>
      </c>
      <c r="J14" s="15">
        <f>7154539-545</f>
        <v>7153994</v>
      </c>
      <c r="K14" s="15">
        <v>-111417</v>
      </c>
      <c r="L14" s="15"/>
      <c r="M14" s="15">
        <v>342425</v>
      </c>
      <c r="N14" s="26">
        <f t="shared" si="2"/>
        <v>7385002</v>
      </c>
      <c r="O14" s="34">
        <f t="shared" si="3"/>
        <v>13524768</v>
      </c>
      <c r="Q14" s="38"/>
    </row>
    <row r="15" spans="1:17" ht="17.45" customHeight="1" x14ac:dyDescent="0.25">
      <c r="A15" s="2" t="s">
        <v>10</v>
      </c>
      <c r="B15" s="15">
        <v>816685</v>
      </c>
      <c r="C15" s="15"/>
      <c r="D15" s="15"/>
      <c r="E15" s="26">
        <f t="shared" si="0"/>
        <v>816685</v>
      </c>
      <c r="F15" s="15">
        <v>0</v>
      </c>
      <c r="G15" s="15"/>
      <c r="H15" s="15"/>
      <c r="I15" s="26">
        <f t="shared" si="1"/>
        <v>0</v>
      </c>
      <c r="J15" s="15">
        <v>432852</v>
      </c>
      <c r="K15" s="15">
        <v>-5840</v>
      </c>
      <c r="L15" s="15">
        <v>-69496</v>
      </c>
      <c r="M15" s="15"/>
      <c r="N15" s="26">
        <f t="shared" si="2"/>
        <v>357516</v>
      </c>
      <c r="O15" s="34">
        <f t="shared" si="3"/>
        <v>1174201</v>
      </c>
      <c r="Q15" s="38"/>
    </row>
    <row r="16" spans="1:17" ht="17.45" customHeight="1" x14ac:dyDescent="0.25">
      <c r="A16" s="17" t="s">
        <v>11</v>
      </c>
      <c r="B16" s="16">
        <f t="shared" ref="B16:E16" si="4">SUM(B10:B15)</f>
        <v>19905167</v>
      </c>
      <c r="C16" s="16">
        <f t="shared" si="4"/>
        <v>0</v>
      </c>
      <c r="D16" s="16">
        <f t="shared" si="4"/>
        <v>-284461</v>
      </c>
      <c r="E16" s="27">
        <f t="shared" si="4"/>
        <v>19620706</v>
      </c>
      <c r="F16" s="16">
        <f t="shared" ref="F16:I16" si="5">SUM(F10:F15)</f>
        <v>12122853</v>
      </c>
      <c r="G16" s="16">
        <f t="shared" si="5"/>
        <v>0</v>
      </c>
      <c r="H16" s="16">
        <f t="shared" ref="H16" si="6">SUM(H10:H15)</f>
        <v>284461</v>
      </c>
      <c r="I16" s="27">
        <f t="shared" si="5"/>
        <v>12407314</v>
      </c>
      <c r="J16" s="16">
        <f t="shared" ref="J16:N16" si="7">SUM(J10:J15)</f>
        <v>12964258</v>
      </c>
      <c r="K16" s="16">
        <f t="shared" si="7"/>
        <v>-708741</v>
      </c>
      <c r="L16" s="16">
        <f t="shared" si="7"/>
        <v>0</v>
      </c>
      <c r="M16" s="16">
        <f t="shared" si="7"/>
        <v>342425</v>
      </c>
      <c r="N16" s="27">
        <f t="shared" si="7"/>
        <v>12597942</v>
      </c>
      <c r="O16" s="35">
        <f>SUM(O10:O15)</f>
        <v>44625962</v>
      </c>
    </row>
    <row r="17" spans="1:17" ht="17.45" customHeight="1" x14ac:dyDescent="0.25">
      <c r="A17" s="2" t="s">
        <v>12</v>
      </c>
      <c r="E17" s="26">
        <f t="shared" si="0"/>
        <v>0</v>
      </c>
      <c r="F17" s="30">
        <v>790247</v>
      </c>
      <c r="I17" s="26">
        <f t="shared" ref="I17:I19" si="8">SUM(F17:H17)</f>
        <v>790247</v>
      </c>
      <c r="J17" s="30">
        <v>427809</v>
      </c>
      <c r="K17" s="30"/>
      <c r="N17" s="26">
        <f t="shared" ref="N17:N19" si="9">SUM(J17:M17)</f>
        <v>427809</v>
      </c>
      <c r="O17" s="34">
        <f t="shared" ref="O17:O19" si="10">SUM(E17,I17,N17)</f>
        <v>1218056</v>
      </c>
      <c r="Q17" s="7"/>
    </row>
    <row r="18" spans="1:17" ht="17.45" customHeight="1" x14ac:dyDescent="0.25">
      <c r="A18" s="2" t="s">
        <v>13</v>
      </c>
      <c r="B18" s="15">
        <v>89982050</v>
      </c>
      <c r="C18" s="15"/>
      <c r="D18" s="15"/>
      <c r="E18" s="26">
        <f t="shared" si="0"/>
        <v>89982050</v>
      </c>
      <c r="F18" s="15">
        <v>29502682</v>
      </c>
      <c r="G18" s="15"/>
      <c r="H18" s="15"/>
      <c r="I18" s="26">
        <f t="shared" si="8"/>
        <v>29502682</v>
      </c>
      <c r="J18" s="15">
        <v>-771976</v>
      </c>
      <c r="K18" s="15">
        <v>708741</v>
      </c>
      <c r="L18" s="15"/>
      <c r="M18" s="15">
        <v>-342425</v>
      </c>
      <c r="N18" s="26">
        <f t="shared" si="9"/>
        <v>-405660</v>
      </c>
      <c r="O18" s="34">
        <f t="shared" si="10"/>
        <v>119079072</v>
      </c>
      <c r="Q18" s="7"/>
    </row>
    <row r="19" spans="1:17" ht="17.45" customHeight="1" x14ac:dyDescent="0.25">
      <c r="A19" s="2" t="s">
        <v>158</v>
      </c>
      <c r="B19" s="15"/>
      <c r="C19" s="15">
        <v>-405660</v>
      </c>
      <c r="D19" s="15"/>
      <c r="E19" s="26">
        <f t="shared" si="0"/>
        <v>-405660</v>
      </c>
      <c r="F19" s="15"/>
      <c r="G19" s="15"/>
      <c r="H19" s="15"/>
      <c r="I19" s="26">
        <f t="shared" si="8"/>
        <v>0</v>
      </c>
      <c r="J19" s="15"/>
      <c r="K19" s="15"/>
      <c r="L19" s="15">
        <v>405660</v>
      </c>
      <c r="M19" s="15"/>
      <c r="N19" s="26">
        <f t="shared" si="9"/>
        <v>405660</v>
      </c>
      <c r="O19" s="34">
        <f t="shared" si="10"/>
        <v>0</v>
      </c>
      <c r="Q19" s="38"/>
    </row>
    <row r="20" spans="1:17" ht="18" customHeight="1" thickBot="1" x14ac:dyDescent="0.3">
      <c r="A20" s="18" t="s">
        <v>14</v>
      </c>
      <c r="B20" s="19">
        <f>SUM(B16:B19)</f>
        <v>109887217</v>
      </c>
      <c r="C20" s="19">
        <f t="shared" ref="C20:E20" si="11">SUM(C16:C19)</f>
        <v>-405660</v>
      </c>
      <c r="D20" s="19">
        <f t="shared" si="11"/>
        <v>-284461</v>
      </c>
      <c r="E20" s="28">
        <f t="shared" si="11"/>
        <v>109197096</v>
      </c>
      <c r="F20" s="19">
        <f>SUM(F16:F19)</f>
        <v>42415782</v>
      </c>
      <c r="G20" s="19">
        <f t="shared" ref="G20:I20" si="12">SUM(G16:G19)</f>
        <v>0</v>
      </c>
      <c r="H20" s="19">
        <f t="shared" ref="H20" si="13">SUM(H16:H19)</f>
        <v>284461</v>
      </c>
      <c r="I20" s="28">
        <f t="shared" si="12"/>
        <v>42700243</v>
      </c>
      <c r="J20" s="19">
        <f>SUM(J16:J19)</f>
        <v>12620091</v>
      </c>
      <c r="K20" s="19">
        <f>SUM(K16:K19)</f>
        <v>0</v>
      </c>
      <c r="L20" s="19">
        <f>SUM(L16:L19)</f>
        <v>405660</v>
      </c>
      <c r="M20" s="19">
        <f t="shared" ref="M20:N20" si="14">SUM(M16:M19)</f>
        <v>0</v>
      </c>
      <c r="N20" s="28">
        <f t="shared" si="14"/>
        <v>13025751</v>
      </c>
      <c r="O20" s="36">
        <f>SUM(O16:O19)</f>
        <v>164923090</v>
      </c>
    </row>
    <row r="21" spans="1:17" x14ac:dyDescent="0.25">
      <c r="A21" s="10"/>
    </row>
    <row r="22" spans="1:17" x14ac:dyDescent="0.25">
      <c r="A22" s="2" t="s">
        <v>133</v>
      </c>
    </row>
    <row r="23" spans="1:17" x14ac:dyDescent="0.25">
      <c r="A23" s="2" t="s">
        <v>105</v>
      </c>
    </row>
    <row r="24" spans="1:17" x14ac:dyDescent="0.25">
      <c r="A24" s="2" t="s">
        <v>128</v>
      </c>
    </row>
    <row r="25" spans="1:17" x14ac:dyDescent="0.25">
      <c r="A25" s="2" t="s">
        <v>210</v>
      </c>
      <c r="L25" s="72"/>
    </row>
    <row r="26" spans="1:17" x14ac:dyDescent="0.25">
      <c r="A26" s="2" t="s">
        <v>207</v>
      </c>
      <c r="L26" s="72"/>
    </row>
    <row r="27" spans="1:17" x14ac:dyDescent="0.25">
      <c r="A27" s="54" t="s">
        <v>199</v>
      </c>
      <c r="L27" s="72"/>
    </row>
    <row r="28" spans="1:17" x14ac:dyDescent="0.25">
      <c r="A28" s="54" t="s">
        <v>200</v>
      </c>
      <c r="K28" s="30"/>
      <c r="L28" s="72"/>
    </row>
    <row r="29" spans="1:17" x14ac:dyDescent="0.25">
      <c r="A29" s="2" t="s">
        <v>207</v>
      </c>
      <c r="K29" s="30"/>
      <c r="L29" s="72"/>
    </row>
    <row r="30" spans="1:17" x14ac:dyDescent="0.25">
      <c r="A30" s="2" t="s">
        <v>201</v>
      </c>
    </row>
    <row r="31" spans="1:17" x14ac:dyDescent="0.25">
      <c r="A31" s="2" t="s">
        <v>202</v>
      </c>
    </row>
    <row r="32" spans="1:17" x14ac:dyDescent="0.25">
      <c r="A32" s="2" t="s">
        <v>154</v>
      </c>
      <c r="N32" s="1">
        <v>0</v>
      </c>
    </row>
    <row r="33" spans="1:1" x14ac:dyDescent="0.25">
      <c r="A33" s="2" t="s">
        <v>208</v>
      </c>
    </row>
    <row r="34" spans="1:1" x14ac:dyDescent="0.25">
      <c r="A34" s="2" t="s">
        <v>153</v>
      </c>
    </row>
    <row r="35" spans="1:1" x14ac:dyDescent="0.25">
      <c r="A35" s="2" t="s">
        <v>155</v>
      </c>
    </row>
    <row r="36" spans="1:1" x14ac:dyDescent="0.25">
      <c r="A36" s="2" t="s">
        <v>209</v>
      </c>
    </row>
    <row r="37" spans="1:1" x14ac:dyDescent="0.25">
      <c r="A37" s="2" t="s">
        <v>160</v>
      </c>
    </row>
    <row r="38" spans="1:1" x14ac:dyDescent="0.25">
      <c r="A38" s="2" t="s">
        <v>161</v>
      </c>
    </row>
    <row r="39" spans="1:1" x14ac:dyDescent="0.25">
      <c r="A39" s="2" t="s">
        <v>203</v>
      </c>
    </row>
    <row r="40" spans="1:1" x14ac:dyDescent="0.25">
      <c r="A40" s="2" t="s">
        <v>210</v>
      </c>
    </row>
    <row r="41" spans="1:1" x14ac:dyDescent="0.25">
      <c r="A41" s="2" t="s">
        <v>211</v>
      </c>
    </row>
  </sheetData>
  <mergeCells count="7">
    <mergeCell ref="C6:E6"/>
    <mergeCell ref="B5:E5"/>
    <mergeCell ref="F5:I5"/>
    <mergeCell ref="G6:I6"/>
    <mergeCell ref="J5:N5"/>
    <mergeCell ref="L6:N6"/>
    <mergeCell ref="J6:K6"/>
  </mergeCells>
  <printOptions horizontalCentered="1"/>
  <pageMargins left="0.75" right="0.75" top="0.5" bottom="0.5" header="0.3" footer="0.3"/>
  <pageSetup paperSize="5" scale="73" orientation="landscape" r:id="rId1"/>
  <headerFooter>
    <oddFooter>&amp;L&amp;8&amp;D&amp;R&amp;8&amp;F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C1031-7461-4808-B700-75BC6644F0DD}">
  <sheetPr>
    <tabColor rgb="FFFFC000"/>
    <pageSetUpPr fitToPage="1"/>
  </sheetPr>
  <dimension ref="A1:J75"/>
  <sheetViews>
    <sheetView workbookViewId="0">
      <selection activeCell="N32" sqref="N32"/>
    </sheetView>
  </sheetViews>
  <sheetFormatPr defaultColWidth="8.85546875" defaultRowHeight="15" x14ac:dyDescent="0.25"/>
  <cols>
    <col min="1" max="1" width="46.28515625" style="2" customWidth="1"/>
    <col min="2" max="6" width="12.28515625" style="1" customWidth="1"/>
    <col min="7" max="7" width="12.5703125" style="1" customWidth="1"/>
    <col min="8" max="8" width="13.140625" style="2" customWidth="1"/>
    <col min="9" max="19" width="14" style="2" customWidth="1"/>
    <col min="20" max="16384" width="8.85546875" style="2"/>
  </cols>
  <sheetData>
    <row r="1" spans="1:8" ht="25.9" customHeight="1" x14ac:dyDescent="0.4">
      <c r="A1" s="4"/>
      <c r="G1" s="37"/>
    </row>
    <row r="2" spans="1:8" ht="25.9" customHeight="1" x14ac:dyDescent="0.3">
      <c r="A2" s="4"/>
    </row>
    <row r="3" spans="1:8" ht="18.75" customHeight="1" x14ac:dyDescent="0.3">
      <c r="A3" s="4" t="s">
        <v>127</v>
      </c>
      <c r="H3" s="12" t="str">
        <f>+'Attachment A - Undesig'!O3</f>
        <v>BPA #23-03</v>
      </c>
    </row>
    <row r="4" spans="1:8" ht="20.100000000000001" customHeight="1" x14ac:dyDescent="0.25">
      <c r="A4" s="29">
        <f>+'Attachment A - Undesig'!A4</f>
        <v>45252</v>
      </c>
    </row>
    <row r="5" spans="1:8" x14ac:dyDescent="0.25">
      <c r="B5" s="76"/>
      <c r="C5" s="76"/>
      <c r="D5" s="76"/>
      <c r="E5" s="76"/>
      <c r="F5" s="76"/>
      <c r="G5" s="76"/>
    </row>
    <row r="6" spans="1:8" x14ac:dyDescent="0.25">
      <c r="B6" s="1">
        <v>-1</v>
      </c>
      <c r="C6" s="1">
        <v>-2</v>
      </c>
      <c r="D6" s="1">
        <v>-3</v>
      </c>
      <c r="E6" s="1">
        <v>-4</v>
      </c>
      <c r="F6" s="1">
        <v>-5</v>
      </c>
      <c r="G6" s="1">
        <v>-6</v>
      </c>
      <c r="H6" s="31"/>
    </row>
    <row r="7" spans="1:8" ht="45.75" thickBot="1" x14ac:dyDescent="0.3">
      <c r="A7" s="8"/>
      <c r="B7" s="9" t="s">
        <v>15</v>
      </c>
      <c r="C7" s="9" t="s">
        <v>137</v>
      </c>
      <c r="D7" s="9" t="s">
        <v>130</v>
      </c>
      <c r="E7" s="9" t="s">
        <v>132</v>
      </c>
      <c r="F7" s="9" t="s">
        <v>131</v>
      </c>
      <c r="G7" s="9" t="s">
        <v>129</v>
      </c>
      <c r="H7" s="32" t="s">
        <v>136</v>
      </c>
    </row>
    <row r="8" spans="1:8" ht="19.149999999999999" customHeight="1" x14ac:dyDescent="0.25">
      <c r="A8" s="22"/>
      <c r="B8" s="24"/>
      <c r="C8" s="24"/>
      <c r="D8" s="24"/>
      <c r="E8" s="24"/>
      <c r="F8" s="23"/>
      <c r="G8" s="23"/>
      <c r="H8" s="33"/>
    </row>
    <row r="9" spans="1:8" ht="19.149999999999999" customHeight="1" x14ac:dyDescent="0.25">
      <c r="A9" s="2" t="s">
        <v>5</v>
      </c>
      <c r="B9" s="15"/>
      <c r="C9" s="15"/>
      <c r="D9" s="15"/>
      <c r="E9" s="15">
        <v>40267</v>
      </c>
      <c r="F9" s="15">
        <f>9739-9739</f>
        <v>0</v>
      </c>
      <c r="G9" s="15"/>
      <c r="H9" s="34">
        <f t="shared" ref="H9:H14" si="0">SUM(B9:G9)</f>
        <v>40267</v>
      </c>
    </row>
    <row r="10" spans="1:8" ht="19.149999999999999" customHeight="1" x14ac:dyDescent="0.25">
      <c r="A10" s="2" t="s">
        <v>6</v>
      </c>
      <c r="B10" s="15">
        <v>391447</v>
      </c>
      <c r="C10" s="15">
        <v>3379403</v>
      </c>
      <c r="D10" s="15">
        <v>2275325</v>
      </c>
      <c r="E10" s="15">
        <v>625605</v>
      </c>
      <c r="F10" s="15">
        <f>669121+294200</f>
        <v>963321</v>
      </c>
      <c r="G10" s="15"/>
      <c r="H10" s="34">
        <f t="shared" si="0"/>
        <v>7635101</v>
      </c>
    </row>
    <row r="11" spans="1:8" ht="19.149999999999999" customHeight="1" x14ac:dyDescent="0.25">
      <c r="A11" s="2" t="s">
        <v>7</v>
      </c>
      <c r="B11" s="15"/>
      <c r="C11" s="15"/>
      <c r="D11" s="15"/>
      <c r="E11" s="15"/>
      <c r="F11" s="15"/>
      <c r="G11" s="15"/>
      <c r="H11" s="34">
        <f t="shared" si="0"/>
        <v>0</v>
      </c>
    </row>
    <row r="12" spans="1:8" ht="19.149999999999999" customHeight="1" x14ac:dyDescent="0.25">
      <c r="A12" s="2" t="s">
        <v>8</v>
      </c>
      <c r="B12" s="15"/>
      <c r="C12" s="15">
        <v>621</v>
      </c>
      <c r="D12" s="15"/>
      <c r="E12" s="15"/>
      <c r="F12" s="15">
        <v>-6510</v>
      </c>
      <c r="G12" s="15"/>
      <c r="H12" s="34">
        <f t="shared" si="0"/>
        <v>-5889</v>
      </c>
    </row>
    <row r="13" spans="1:8" ht="19.149999999999999" customHeight="1" x14ac:dyDescent="0.25">
      <c r="A13" s="2" t="s">
        <v>9</v>
      </c>
      <c r="B13" s="15"/>
      <c r="C13" s="15">
        <v>3496533</v>
      </c>
      <c r="D13" s="15"/>
      <c r="E13" s="15">
        <v>301203</v>
      </c>
      <c r="F13" s="15">
        <v>940100</v>
      </c>
      <c r="G13" s="15"/>
      <c r="H13" s="34">
        <f t="shared" si="0"/>
        <v>4737836</v>
      </c>
    </row>
    <row r="14" spans="1:8" ht="19.149999999999999" customHeight="1" x14ac:dyDescent="0.25">
      <c r="A14" s="2" t="s">
        <v>10</v>
      </c>
      <c r="B14" s="15"/>
      <c r="C14" s="15"/>
      <c r="D14" s="15"/>
      <c r="E14" s="15"/>
      <c r="F14" s="15"/>
      <c r="G14" s="15"/>
      <c r="H14" s="34">
        <f t="shared" si="0"/>
        <v>0</v>
      </c>
    </row>
    <row r="15" spans="1:8" ht="19.149999999999999" customHeight="1" x14ac:dyDescent="0.25">
      <c r="A15" s="17" t="s">
        <v>11</v>
      </c>
      <c r="B15" s="16">
        <f t="shared" ref="B15:F15" si="1">SUM(B9:B14)</f>
        <v>391447</v>
      </c>
      <c r="C15" s="16">
        <f t="shared" si="1"/>
        <v>6876557</v>
      </c>
      <c r="D15" s="16">
        <f t="shared" ref="D15:E15" si="2">SUM(D9:D14)</f>
        <v>2275325</v>
      </c>
      <c r="E15" s="16">
        <f t="shared" si="2"/>
        <v>967075</v>
      </c>
      <c r="F15" s="16">
        <f t="shared" si="1"/>
        <v>1896911</v>
      </c>
      <c r="G15" s="16">
        <f t="shared" ref="G15:H15" si="3">SUM(G9:G14)</f>
        <v>0</v>
      </c>
      <c r="H15" s="35">
        <f t="shared" si="3"/>
        <v>12407315</v>
      </c>
    </row>
    <row r="16" spans="1:8" ht="19.149999999999999" customHeight="1" x14ac:dyDescent="0.25">
      <c r="A16" s="2" t="s">
        <v>12</v>
      </c>
      <c r="B16" s="30"/>
      <c r="F16" s="15"/>
      <c r="G16" s="15">
        <v>790247</v>
      </c>
      <c r="H16" s="34">
        <f>SUM(B16:G16)</f>
        <v>790247</v>
      </c>
    </row>
    <row r="17" spans="1:8" ht="19.149999999999999" customHeight="1" x14ac:dyDescent="0.25">
      <c r="A17" s="2" t="s">
        <v>13</v>
      </c>
      <c r="B17" s="15"/>
      <c r="C17" s="15"/>
      <c r="D17" s="15"/>
      <c r="E17" s="15"/>
      <c r="F17" s="15"/>
      <c r="G17" s="15">
        <v>29502682</v>
      </c>
      <c r="H17" s="34">
        <f>SUM(B17:G17)</f>
        <v>29502682</v>
      </c>
    </row>
    <row r="18" spans="1:8" ht="15" customHeight="1" thickBot="1" x14ac:dyDescent="0.3">
      <c r="A18" s="18" t="s">
        <v>14</v>
      </c>
      <c r="B18" s="19">
        <f t="shared" ref="B18:F18" si="4">SUM(B15:B17)</f>
        <v>391447</v>
      </c>
      <c r="C18" s="19">
        <f t="shared" si="4"/>
        <v>6876557</v>
      </c>
      <c r="D18" s="19">
        <f t="shared" ref="D18:E18" si="5">SUM(D15:D17)</f>
        <v>2275325</v>
      </c>
      <c r="E18" s="19">
        <f t="shared" si="5"/>
        <v>967075</v>
      </c>
      <c r="F18" s="19">
        <f t="shared" si="4"/>
        <v>1896911</v>
      </c>
      <c r="G18" s="19">
        <f t="shared" ref="G18:H18" si="6">SUM(G15:G17)</f>
        <v>30292929</v>
      </c>
      <c r="H18" s="36">
        <f t="shared" si="6"/>
        <v>42700244</v>
      </c>
    </row>
    <row r="19" spans="1:8" ht="15" customHeight="1" x14ac:dyDescent="0.25">
      <c r="A19" s="20"/>
      <c r="B19" s="20"/>
      <c r="C19" s="21"/>
      <c r="D19" s="21"/>
      <c r="E19" s="21"/>
      <c r="F19" s="21"/>
      <c r="G19" s="21"/>
    </row>
    <row r="20" spans="1:8" x14ac:dyDescent="0.25">
      <c r="A20" s="2" t="s">
        <v>162</v>
      </c>
    </row>
    <row r="21" spans="1:8" x14ac:dyDescent="0.25">
      <c r="A21" s="2" t="s">
        <v>163</v>
      </c>
    </row>
    <row r="22" spans="1:8" x14ac:dyDescent="0.25">
      <c r="A22" s="2" t="s">
        <v>212</v>
      </c>
    </row>
    <row r="23" spans="1:8" x14ac:dyDescent="0.25">
      <c r="A23" s="2" t="s">
        <v>213</v>
      </c>
    </row>
    <row r="24" spans="1:8" x14ac:dyDescent="0.25">
      <c r="A24" s="2" t="s">
        <v>164</v>
      </c>
    </row>
    <row r="25" spans="1:8" x14ac:dyDescent="0.25">
      <c r="A25" s="2" t="s">
        <v>205</v>
      </c>
    </row>
    <row r="26" spans="1:8" x14ac:dyDescent="0.25">
      <c r="A26" s="2" t="s">
        <v>206</v>
      </c>
    </row>
    <row r="27" spans="1:8" x14ac:dyDescent="0.25">
      <c r="A27" s="2" t="s">
        <v>165</v>
      </c>
    </row>
    <row r="30" spans="1:8" x14ac:dyDescent="0.25">
      <c r="A30" s="42" t="s">
        <v>16</v>
      </c>
      <c r="B30" s="39" t="s">
        <v>17</v>
      </c>
      <c r="C30" s="39" t="s">
        <v>18</v>
      </c>
      <c r="D30" s="39" t="s">
        <v>8</v>
      </c>
      <c r="E30" s="39" t="s">
        <v>19</v>
      </c>
      <c r="F30" s="39" t="s">
        <v>20</v>
      </c>
      <c r="G30" s="39" t="s">
        <v>21</v>
      </c>
    </row>
    <row r="31" spans="1:8" x14ac:dyDescent="0.25">
      <c r="A31" s="43"/>
      <c r="B31" s="40" t="s">
        <v>22</v>
      </c>
      <c r="C31" s="40" t="s">
        <v>23</v>
      </c>
      <c r="D31" s="40"/>
      <c r="E31" s="40" t="s">
        <v>23</v>
      </c>
      <c r="F31" s="40"/>
      <c r="G31" s="40"/>
    </row>
    <row r="32" spans="1:8" x14ac:dyDescent="0.25">
      <c r="A32" s="38" t="s">
        <v>107</v>
      </c>
      <c r="B32" s="38"/>
      <c r="C32" s="38">
        <v>-1162</v>
      </c>
      <c r="D32" s="38"/>
      <c r="E32" s="38"/>
      <c r="F32" s="38"/>
      <c r="G32" s="30">
        <f t="shared" ref="G32:G57" si="7">SUM(B32:F32)</f>
        <v>-1162</v>
      </c>
    </row>
    <row r="33" spans="1:10" x14ac:dyDescent="0.25">
      <c r="A33" s="38" t="s">
        <v>108</v>
      </c>
      <c r="B33" s="38"/>
      <c r="C33" s="38">
        <v>59316.709999999992</v>
      </c>
      <c r="D33" s="38"/>
      <c r="E33" s="38"/>
      <c r="F33" s="38"/>
      <c r="G33" s="30">
        <f t="shared" si="7"/>
        <v>59316.709999999992</v>
      </c>
    </row>
    <row r="34" spans="1:10" x14ac:dyDescent="0.25">
      <c r="A34" s="38" t="s">
        <v>24</v>
      </c>
      <c r="B34" s="38"/>
      <c r="C34" s="38">
        <v>274746.53000000032</v>
      </c>
      <c r="D34" s="38"/>
      <c r="E34" s="38"/>
      <c r="F34" s="38"/>
      <c r="G34" s="30">
        <f t="shared" si="7"/>
        <v>274746.53000000032</v>
      </c>
    </row>
    <row r="35" spans="1:10" x14ac:dyDescent="0.25">
      <c r="A35" s="38" t="s">
        <v>109</v>
      </c>
      <c r="B35" s="38"/>
      <c r="C35" s="38">
        <v>18</v>
      </c>
      <c r="D35" s="38"/>
      <c r="E35" s="38"/>
      <c r="F35" s="38"/>
      <c r="G35" s="30">
        <f t="shared" si="7"/>
        <v>18</v>
      </c>
    </row>
    <row r="36" spans="1:10" x14ac:dyDescent="0.25">
      <c r="A36" s="38" t="s">
        <v>185</v>
      </c>
      <c r="B36" s="38"/>
      <c r="C36" s="38"/>
      <c r="D36" s="38"/>
      <c r="E36" s="38">
        <v>655664.09</v>
      </c>
      <c r="F36" s="38"/>
      <c r="G36" s="30">
        <f t="shared" si="7"/>
        <v>655664.09</v>
      </c>
    </row>
    <row r="37" spans="1:10" x14ac:dyDescent="0.25">
      <c r="A37" s="38" t="s">
        <v>110</v>
      </c>
      <c r="B37" s="38"/>
      <c r="C37" s="38">
        <v>5750.64</v>
      </c>
      <c r="D37" s="38"/>
      <c r="E37" s="38"/>
      <c r="F37" s="38"/>
      <c r="G37" s="30">
        <f t="shared" si="7"/>
        <v>5750.64</v>
      </c>
      <c r="H37" s="52"/>
    </row>
    <row r="38" spans="1:10" x14ac:dyDescent="0.25">
      <c r="A38" s="38" t="s">
        <v>111</v>
      </c>
      <c r="B38" s="38"/>
      <c r="C38" s="38">
        <v>94719.85</v>
      </c>
      <c r="D38" s="38"/>
      <c r="E38" s="38"/>
      <c r="F38" s="38"/>
      <c r="G38" s="30">
        <f t="shared" si="7"/>
        <v>94719.85</v>
      </c>
      <c r="H38" s="52"/>
    </row>
    <row r="39" spans="1:10" x14ac:dyDescent="0.25">
      <c r="A39" s="38" t="s">
        <v>112</v>
      </c>
      <c r="B39" s="38"/>
      <c r="C39" s="38">
        <v>2277</v>
      </c>
      <c r="D39" s="38"/>
      <c r="E39" s="38"/>
      <c r="F39" s="38"/>
      <c r="G39" s="30">
        <f t="shared" si="7"/>
        <v>2277</v>
      </c>
    </row>
    <row r="40" spans="1:10" x14ac:dyDescent="0.25">
      <c r="A40" s="38" t="s">
        <v>25</v>
      </c>
      <c r="B40" s="38"/>
      <c r="C40" s="38">
        <v>299363.01</v>
      </c>
      <c r="D40" s="38"/>
      <c r="E40" s="38"/>
      <c r="F40" s="38"/>
      <c r="G40" s="30">
        <f t="shared" ref="G40" si="8">SUM(B40:F40)</f>
        <v>299363.01</v>
      </c>
      <c r="H40" s="2" t="s">
        <v>187</v>
      </c>
      <c r="J40" s="70"/>
    </row>
    <row r="41" spans="1:10" x14ac:dyDescent="0.25">
      <c r="A41" s="38" t="s">
        <v>113</v>
      </c>
      <c r="B41" s="38"/>
      <c r="C41" s="38">
        <v>-258</v>
      </c>
      <c r="D41" s="38"/>
      <c r="E41" s="38"/>
      <c r="F41" s="38"/>
      <c r="G41" s="30">
        <f t="shared" si="7"/>
        <v>-258</v>
      </c>
    </row>
    <row r="42" spans="1:10" x14ac:dyDescent="0.25">
      <c r="A42" s="38" t="s">
        <v>26</v>
      </c>
      <c r="B42" s="38">
        <v>40267.049999999981</v>
      </c>
      <c r="C42" s="38">
        <v>625604.68000000005</v>
      </c>
      <c r="D42" s="38"/>
      <c r="E42" s="38">
        <v>301202.56000000006</v>
      </c>
      <c r="F42" s="38"/>
      <c r="G42" s="30">
        <f t="shared" ref="G42" si="9">SUM(B42:F42)</f>
        <v>967074.29</v>
      </c>
      <c r="H42" s="2" t="s">
        <v>187</v>
      </c>
    </row>
    <row r="43" spans="1:10" x14ac:dyDescent="0.25">
      <c r="A43" s="38" t="s">
        <v>114</v>
      </c>
      <c r="B43" s="38"/>
      <c r="C43" s="38">
        <v>0</v>
      </c>
      <c r="D43" s="38">
        <v>-6510</v>
      </c>
      <c r="E43" s="38"/>
      <c r="F43" s="38"/>
      <c r="G43" s="30">
        <f t="shared" si="7"/>
        <v>-6510</v>
      </c>
    </row>
    <row r="44" spans="1:10" x14ac:dyDescent="0.25">
      <c r="A44" s="38" t="s">
        <v>120</v>
      </c>
      <c r="B44" s="38"/>
      <c r="C44" s="38">
        <v>95332.469999999972</v>
      </c>
      <c r="D44" s="38">
        <v>621.35999999989144</v>
      </c>
      <c r="E44" s="38">
        <v>3289175.7700000023</v>
      </c>
      <c r="F44" s="38"/>
      <c r="G44" s="30">
        <f t="shared" ref="G44:G50" si="10">SUM(B44:F44)</f>
        <v>3385129.6000000024</v>
      </c>
      <c r="H44" s="2" t="s">
        <v>188</v>
      </c>
    </row>
    <row r="45" spans="1:10" x14ac:dyDescent="0.25">
      <c r="A45" s="38" t="s">
        <v>121</v>
      </c>
      <c r="B45" s="38"/>
      <c r="C45" s="38">
        <v>391446.62999999913</v>
      </c>
      <c r="D45" s="38"/>
      <c r="E45" s="38"/>
      <c r="F45" s="38"/>
      <c r="G45" s="30">
        <f t="shared" si="10"/>
        <v>391446.62999999913</v>
      </c>
    </row>
    <row r="46" spans="1:10" x14ac:dyDescent="0.25">
      <c r="A46" s="38" t="s">
        <v>122</v>
      </c>
      <c r="B46" s="38"/>
      <c r="C46" s="38">
        <v>1812692.7300000025</v>
      </c>
      <c r="D46" s="38"/>
      <c r="E46" s="38"/>
      <c r="F46" s="38"/>
      <c r="G46" s="30">
        <f t="shared" si="10"/>
        <v>1812692.7300000025</v>
      </c>
      <c r="H46" s="2" t="s">
        <v>188</v>
      </c>
    </row>
    <row r="47" spans="1:10" x14ac:dyDescent="0.25">
      <c r="A47" s="38" t="s">
        <v>123</v>
      </c>
      <c r="B47" s="38"/>
      <c r="C47" s="38">
        <v>84343.709999996456</v>
      </c>
      <c r="D47" s="38"/>
      <c r="E47" s="38"/>
      <c r="F47" s="38"/>
      <c r="G47" s="30">
        <f t="shared" si="10"/>
        <v>84343.709999996456</v>
      </c>
      <c r="H47" s="2" t="s">
        <v>188</v>
      </c>
    </row>
    <row r="48" spans="1:10" x14ac:dyDescent="0.25">
      <c r="A48" s="38" t="s">
        <v>124</v>
      </c>
      <c r="B48" s="38"/>
      <c r="C48" s="38">
        <v>319502.10999999952</v>
      </c>
      <c r="D48" s="38"/>
      <c r="E48" s="38"/>
      <c r="F48" s="38"/>
      <c r="G48" s="30">
        <f t="shared" si="10"/>
        <v>319502.10999999952</v>
      </c>
      <c r="H48" s="2" t="s">
        <v>188</v>
      </c>
    </row>
    <row r="49" spans="1:8" x14ac:dyDescent="0.25">
      <c r="A49" s="38" t="s">
        <v>125</v>
      </c>
      <c r="B49" s="38"/>
      <c r="C49" s="38">
        <v>528670.51999999944</v>
      </c>
      <c r="D49" s="38"/>
      <c r="E49" s="38">
        <v>207357.34000000017</v>
      </c>
      <c r="F49" s="38"/>
      <c r="G49" s="30">
        <f t="shared" si="10"/>
        <v>736027.85999999964</v>
      </c>
      <c r="H49" s="2" t="s">
        <v>188</v>
      </c>
    </row>
    <row r="50" spans="1:8" x14ac:dyDescent="0.25">
      <c r="A50" s="38" t="s">
        <v>126</v>
      </c>
      <c r="B50" s="38"/>
      <c r="C50" s="38">
        <v>538861.68000000005</v>
      </c>
      <c r="D50" s="38"/>
      <c r="E50" s="38"/>
      <c r="F50" s="38"/>
      <c r="G50" s="30">
        <f t="shared" si="10"/>
        <v>538861.68000000005</v>
      </c>
      <c r="H50" s="2" t="s">
        <v>188</v>
      </c>
    </row>
    <row r="51" spans="1:8" x14ac:dyDescent="0.25">
      <c r="A51" s="38" t="s">
        <v>27</v>
      </c>
      <c r="B51" s="38"/>
      <c r="C51" s="38"/>
      <c r="D51" s="38"/>
      <c r="E51" s="38">
        <v>135638.05999999991</v>
      </c>
      <c r="F51" s="38"/>
      <c r="G51" s="30">
        <f t="shared" si="7"/>
        <v>135638.05999999991</v>
      </c>
    </row>
    <row r="52" spans="1:8" x14ac:dyDescent="0.25">
      <c r="A52" s="38" t="s">
        <v>186</v>
      </c>
      <c r="B52" s="38"/>
      <c r="C52" s="38"/>
      <c r="D52" s="38"/>
      <c r="E52" s="38">
        <f>58234.4000000002-225.070000000013</f>
        <v>58009.330000000184</v>
      </c>
      <c r="F52" s="38"/>
      <c r="G52" s="30">
        <f t="shared" si="7"/>
        <v>58009.330000000184</v>
      </c>
    </row>
    <row r="53" spans="1:8" x14ac:dyDescent="0.25">
      <c r="A53" s="38" t="s">
        <v>115</v>
      </c>
      <c r="B53" s="38"/>
      <c r="C53" s="38"/>
      <c r="D53" s="38"/>
      <c r="E53" s="38">
        <v>91897.669999999969</v>
      </c>
      <c r="F53" s="38"/>
      <c r="G53" s="30">
        <f t="shared" si="7"/>
        <v>91897.669999999969</v>
      </c>
    </row>
    <row r="54" spans="1:8" x14ac:dyDescent="0.25">
      <c r="A54" s="38" t="s">
        <v>116</v>
      </c>
      <c r="B54" s="38"/>
      <c r="C54" s="38">
        <v>107720.12999999999</v>
      </c>
      <c r="D54" s="38"/>
      <c r="E54" s="38"/>
      <c r="F54" s="38"/>
      <c r="G54" s="30">
        <f t="shared" si="7"/>
        <v>107720.12999999999</v>
      </c>
    </row>
    <row r="55" spans="1:8" x14ac:dyDescent="0.25">
      <c r="A55" s="38" t="s">
        <v>117</v>
      </c>
      <c r="B55" s="38"/>
      <c r="C55" s="38">
        <v>120829.45000000045</v>
      </c>
      <c r="D55" s="38"/>
      <c r="E55" s="38"/>
      <c r="F55" s="38"/>
      <c r="G55" s="30">
        <f t="shared" si="7"/>
        <v>120829.45000000045</v>
      </c>
    </row>
    <row r="56" spans="1:8" x14ac:dyDescent="0.25">
      <c r="A56" s="38" t="s">
        <v>118</v>
      </c>
      <c r="B56" s="38"/>
      <c r="C56" s="38"/>
      <c r="D56" s="38"/>
      <c r="E56" s="38">
        <v>-1109</v>
      </c>
      <c r="F56" s="38"/>
      <c r="G56" s="30">
        <f t="shared" si="7"/>
        <v>-1109</v>
      </c>
    </row>
    <row r="57" spans="1:8" x14ac:dyDescent="0.25">
      <c r="A57" s="38" t="s">
        <v>119</v>
      </c>
      <c r="B57" s="38"/>
      <c r="C57" s="38">
        <v>2275325.0399999986</v>
      </c>
      <c r="D57" s="38"/>
      <c r="E57" s="38"/>
      <c r="F57" s="38"/>
      <c r="G57" s="30">
        <f t="shared" si="7"/>
        <v>2275325.0399999986</v>
      </c>
    </row>
    <row r="58" spans="1:8" x14ac:dyDescent="0.25">
      <c r="A58" s="38" t="s">
        <v>28</v>
      </c>
      <c r="B58" s="38"/>
      <c r="C58" s="38"/>
      <c r="D58" s="38"/>
      <c r="E58" s="38"/>
      <c r="F58" s="38">
        <v>790247</v>
      </c>
      <c r="G58" s="30">
        <f t="shared" ref="G58:G59" si="11">SUM(B58:F58)</f>
        <v>790247</v>
      </c>
    </row>
    <row r="59" spans="1:8" x14ac:dyDescent="0.25">
      <c r="A59" s="38" t="s">
        <v>106</v>
      </c>
      <c r="E59" s="38"/>
      <c r="F59" s="38">
        <v>29502682</v>
      </c>
      <c r="G59" s="30">
        <f t="shared" si="11"/>
        <v>29502682</v>
      </c>
    </row>
    <row r="60" spans="1:8" x14ac:dyDescent="0.25">
      <c r="B60" s="41">
        <f t="shared" ref="B60:G60" si="12">SUM(B32:B59)</f>
        <v>40267.049999999981</v>
      </c>
      <c r="C60" s="41">
        <f t="shared" si="12"/>
        <v>7635100.889999995</v>
      </c>
      <c r="D60" s="41">
        <f t="shared" si="12"/>
        <v>-5888.6400000001086</v>
      </c>
      <c r="E60" s="41">
        <f t="shared" si="12"/>
        <v>4737835.8200000022</v>
      </c>
      <c r="F60" s="41">
        <f t="shared" si="12"/>
        <v>30292929</v>
      </c>
      <c r="G60" s="41">
        <f t="shared" si="12"/>
        <v>42700244.120000005</v>
      </c>
    </row>
    <row r="65" spans="1:7" x14ac:dyDescent="0.25">
      <c r="A65" s="2" t="s">
        <v>191</v>
      </c>
    </row>
    <row r="66" spans="1:7" x14ac:dyDescent="0.25">
      <c r="A66" s="2" t="s">
        <v>194</v>
      </c>
    </row>
    <row r="67" spans="1:7" x14ac:dyDescent="0.25">
      <c r="B67" s="39" t="s">
        <v>17</v>
      </c>
      <c r="C67" s="39" t="s">
        <v>18</v>
      </c>
      <c r="D67" s="39" t="s">
        <v>8</v>
      </c>
      <c r="E67" s="39" t="s">
        <v>19</v>
      </c>
      <c r="F67" s="39" t="s">
        <v>20</v>
      </c>
      <c r="G67" s="39" t="s">
        <v>21</v>
      </c>
    </row>
    <row r="68" spans="1:7" x14ac:dyDescent="0.25">
      <c r="B68" s="40" t="s">
        <v>22</v>
      </c>
      <c r="C68" s="40" t="s">
        <v>23</v>
      </c>
      <c r="D68" s="40"/>
      <c r="E68" s="40" t="s">
        <v>23</v>
      </c>
      <c r="F68" s="40"/>
      <c r="G68" s="40"/>
    </row>
    <row r="69" spans="1:7" x14ac:dyDescent="0.25">
      <c r="A69" s="38" t="s">
        <v>195</v>
      </c>
      <c r="B69" s="38"/>
      <c r="C69" s="38">
        <v>-359542.58</v>
      </c>
      <c r="D69" s="38"/>
      <c r="E69" s="38"/>
      <c r="F69" s="38"/>
      <c r="G69" s="30">
        <f t="shared" ref="G69:G72" si="13">SUM(B69:F69)</f>
        <v>-359542.58</v>
      </c>
    </row>
    <row r="70" spans="1:7" x14ac:dyDescent="0.25">
      <c r="A70" s="38" t="s">
        <v>196</v>
      </c>
      <c r="B70" s="38"/>
      <c r="C70" s="38">
        <v>65335.099999999977</v>
      </c>
      <c r="D70" s="38"/>
      <c r="E70" s="38"/>
      <c r="F70" s="38"/>
      <c r="G70" s="30">
        <f t="shared" si="13"/>
        <v>65335.099999999977</v>
      </c>
    </row>
    <row r="71" spans="1:7" x14ac:dyDescent="0.25">
      <c r="A71" s="38" t="s">
        <v>197</v>
      </c>
      <c r="B71" s="38">
        <v>9739</v>
      </c>
      <c r="C71" s="38"/>
      <c r="D71" s="38"/>
      <c r="E71" s="38"/>
      <c r="F71" s="38"/>
      <c r="G71" s="30">
        <f t="shared" si="13"/>
        <v>9739</v>
      </c>
    </row>
    <row r="72" spans="1:7" x14ac:dyDescent="0.25">
      <c r="A72" s="38" t="s">
        <v>198</v>
      </c>
      <c r="B72" s="38"/>
      <c r="C72" s="38">
        <v>7</v>
      </c>
      <c r="D72" s="38"/>
      <c r="E72" s="38"/>
      <c r="F72" s="38"/>
      <c r="G72" s="30">
        <f t="shared" si="13"/>
        <v>7</v>
      </c>
    </row>
    <row r="73" spans="1:7" x14ac:dyDescent="0.25">
      <c r="B73" s="41">
        <f>SUM(B69:B72)</f>
        <v>9739</v>
      </c>
      <c r="C73" s="41">
        <f t="shared" ref="C73:G73" si="14">SUM(C69:C72)</f>
        <v>-294200.48000000004</v>
      </c>
      <c r="D73" s="41">
        <f t="shared" si="14"/>
        <v>0</v>
      </c>
      <c r="E73" s="41">
        <f t="shared" si="14"/>
        <v>0</v>
      </c>
      <c r="F73" s="41">
        <f t="shared" si="14"/>
        <v>0</v>
      </c>
      <c r="G73" s="41">
        <f t="shared" si="14"/>
        <v>-284461.48000000004</v>
      </c>
    </row>
    <row r="74" spans="1:7" x14ac:dyDescent="0.25">
      <c r="A74" s="2" t="s">
        <v>189</v>
      </c>
    </row>
    <row r="75" spans="1:7" x14ac:dyDescent="0.25">
      <c r="A75" s="2" t="s">
        <v>190</v>
      </c>
    </row>
  </sheetData>
  <mergeCells count="1">
    <mergeCell ref="B5:G5"/>
  </mergeCells>
  <printOptions horizontalCentered="1"/>
  <pageMargins left="0.75" right="0.75" top="0.5" bottom="0.5" header="0.3" footer="0.3"/>
  <pageSetup scale="91" fitToHeight="0" orientation="landscape" r:id="rId1"/>
  <headerFooter>
    <oddFooter>&amp;L&amp;8&amp;D&amp;R&amp;8&amp;F</oddFooter>
  </headerFooter>
  <rowBreaks count="1" manualBreakCount="1">
    <brk id="29"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3CE0-491A-4555-A68A-92696ED17985}">
  <sheetPr>
    <tabColor rgb="FFFFC000"/>
    <pageSetUpPr fitToPage="1"/>
  </sheetPr>
  <dimension ref="A1:O112"/>
  <sheetViews>
    <sheetView zoomScale="120" zoomScaleNormal="120" zoomScaleSheetLayoutView="90" workbookViewId="0">
      <selection activeCell="N32" sqref="N32"/>
    </sheetView>
  </sheetViews>
  <sheetFormatPr defaultColWidth="8.85546875" defaultRowHeight="15" x14ac:dyDescent="0.25"/>
  <cols>
    <col min="1" max="1" width="26.28515625" style="2" customWidth="1"/>
    <col min="2" max="4" width="11.85546875" style="1" customWidth="1"/>
    <col min="5" max="5" width="11" style="1" customWidth="1"/>
    <col min="6" max="6" width="13.140625" style="1" customWidth="1"/>
    <col min="7" max="10" width="11.85546875" style="1" customWidth="1"/>
    <col min="11" max="11" width="13.42578125" style="1" customWidth="1"/>
    <col min="12" max="23" width="14" style="2" customWidth="1"/>
    <col min="24" max="16384" width="8.85546875" style="2"/>
  </cols>
  <sheetData>
    <row r="1" spans="1:11" ht="25.9" customHeight="1" x14ac:dyDescent="0.4">
      <c r="A1" s="4"/>
      <c r="K1" s="37"/>
    </row>
    <row r="2" spans="1:11" ht="25.9" customHeight="1" x14ac:dyDescent="0.3">
      <c r="A2" s="4"/>
    </row>
    <row r="3" spans="1:11" ht="18.75" customHeight="1" x14ac:dyDescent="0.3">
      <c r="A3" s="4" t="s">
        <v>138</v>
      </c>
      <c r="K3" s="12" t="str">
        <f>+'Attachment A - Undesig'!O3</f>
        <v>BPA #23-03</v>
      </c>
    </row>
    <row r="4" spans="1:11" ht="20.100000000000001" customHeight="1" x14ac:dyDescent="0.25">
      <c r="A4" s="29">
        <f>+'Attachment A - Undesig'!A4</f>
        <v>45252</v>
      </c>
    </row>
    <row r="5" spans="1:11" x14ac:dyDescent="0.25">
      <c r="B5" s="76"/>
      <c r="C5" s="76"/>
      <c r="D5" s="76"/>
      <c r="E5" s="76"/>
      <c r="F5" s="76"/>
      <c r="G5" s="76"/>
      <c r="H5" s="76"/>
      <c r="I5" s="76"/>
      <c r="J5" s="76"/>
      <c r="K5" s="76"/>
    </row>
    <row r="6" spans="1:11" x14ac:dyDescent="0.25">
      <c r="B6" s="1">
        <v>-1</v>
      </c>
      <c r="C6" s="1">
        <v>-2</v>
      </c>
      <c r="D6" s="1">
        <v>-3</v>
      </c>
      <c r="E6" s="1">
        <v>-4</v>
      </c>
      <c r="F6" s="1">
        <v>-5</v>
      </c>
      <c r="G6" s="1">
        <v>-6</v>
      </c>
      <c r="H6" s="1">
        <v>-7</v>
      </c>
      <c r="I6" s="1">
        <v>-8</v>
      </c>
      <c r="J6" s="1">
        <v>-9</v>
      </c>
      <c r="K6" s="31"/>
    </row>
    <row r="7" spans="1:11" ht="75.75" thickBot="1" x14ac:dyDescent="0.3">
      <c r="A7" s="8"/>
      <c r="B7" s="9" t="s">
        <v>29</v>
      </c>
      <c r="C7" s="9" t="s">
        <v>30</v>
      </c>
      <c r="D7" s="9" t="s">
        <v>31</v>
      </c>
      <c r="E7" s="9" t="s">
        <v>32</v>
      </c>
      <c r="F7" s="9" t="s">
        <v>149</v>
      </c>
      <c r="G7" s="9" t="s">
        <v>33</v>
      </c>
      <c r="H7" s="9" t="s">
        <v>34</v>
      </c>
      <c r="I7" s="9" t="s">
        <v>35</v>
      </c>
      <c r="J7" s="9" t="s">
        <v>147</v>
      </c>
      <c r="K7" s="32" t="s">
        <v>167</v>
      </c>
    </row>
    <row r="8" spans="1:11" ht="19.149999999999999" customHeight="1" x14ac:dyDescent="0.25">
      <c r="A8" s="22"/>
      <c r="B8" s="24"/>
      <c r="C8" s="24"/>
      <c r="D8" s="24"/>
      <c r="E8" s="24"/>
      <c r="F8" s="24"/>
      <c r="G8" s="24"/>
      <c r="H8" s="24"/>
      <c r="I8" s="24"/>
      <c r="J8" s="24"/>
      <c r="K8" s="33"/>
    </row>
    <row r="9" spans="1:11" ht="19.149999999999999" customHeight="1" x14ac:dyDescent="0.25">
      <c r="A9" s="2" t="s">
        <v>5</v>
      </c>
      <c r="B9" s="15"/>
      <c r="C9" s="15"/>
      <c r="D9" s="15"/>
      <c r="E9" s="15"/>
      <c r="F9" s="15"/>
      <c r="G9" s="15"/>
      <c r="H9" s="15"/>
      <c r="I9" s="15"/>
      <c r="J9" s="15"/>
      <c r="K9" s="34">
        <f t="shared" ref="K9:K14" si="0">SUM(B9:J9)</f>
        <v>0</v>
      </c>
    </row>
    <row r="10" spans="1:11" ht="19.149999999999999" customHeight="1" x14ac:dyDescent="0.25">
      <c r="A10" s="2" t="s">
        <v>6</v>
      </c>
      <c r="B10" s="15">
        <f>2184572-255058</f>
        <v>1929514</v>
      </c>
      <c r="C10" s="15"/>
      <c r="D10" s="15">
        <f>-33594+33175+419</f>
        <v>0</v>
      </c>
      <c r="E10" s="15">
        <f>85076+1</f>
        <v>85077</v>
      </c>
      <c r="F10" s="15">
        <v>69496</v>
      </c>
      <c r="G10" s="15">
        <f>208188-784</f>
        <v>207404</v>
      </c>
      <c r="H10" s="15">
        <f>591827-23740</f>
        <v>568087</v>
      </c>
      <c r="I10" s="15">
        <f>2063563-267732</f>
        <v>1795831</v>
      </c>
      <c r="J10" s="15"/>
      <c r="K10" s="34">
        <f t="shared" si="0"/>
        <v>4655409</v>
      </c>
    </row>
    <row r="11" spans="1:11" ht="19.149999999999999" customHeight="1" x14ac:dyDescent="0.25">
      <c r="A11" s="2" t="s">
        <v>7</v>
      </c>
      <c r="B11" s="15"/>
      <c r="C11" s="15"/>
      <c r="D11" s="15"/>
      <c r="E11" s="15"/>
      <c r="F11" s="15"/>
      <c r="G11" s="15"/>
      <c r="H11" s="15"/>
      <c r="I11" s="15"/>
      <c r="J11" s="15"/>
      <c r="K11" s="34">
        <f t="shared" si="0"/>
        <v>0</v>
      </c>
    </row>
    <row r="12" spans="1:11" ht="19.149999999999999" customHeight="1" x14ac:dyDescent="0.25">
      <c r="A12" s="2" t="s">
        <v>8</v>
      </c>
      <c r="B12" s="15">
        <f>244185-44170</f>
        <v>200015</v>
      </c>
      <c r="C12" s="15"/>
      <c r="D12" s="15"/>
      <c r="E12" s="15"/>
      <c r="F12" s="15"/>
      <c r="G12" s="15"/>
      <c r="H12" s="15"/>
      <c r="I12" s="15"/>
      <c r="J12" s="15"/>
      <c r="K12" s="34">
        <f t="shared" si="0"/>
        <v>200015</v>
      </c>
    </row>
    <row r="13" spans="1:11" ht="19.149999999999999" customHeight="1" x14ac:dyDescent="0.25">
      <c r="A13" s="2" t="s">
        <v>9</v>
      </c>
      <c r="B13" s="15">
        <f>264914+342425</f>
        <v>607339</v>
      </c>
      <c r="C13" s="15">
        <f>5475169</f>
        <v>5475169</v>
      </c>
      <c r="D13" s="15">
        <f>1398051-545-111417</f>
        <v>1286089</v>
      </c>
      <c r="E13" s="15"/>
      <c r="F13" s="15"/>
      <c r="G13" s="15">
        <v>16405</v>
      </c>
      <c r="H13" s="15"/>
      <c r="I13" s="15"/>
      <c r="J13" s="15"/>
      <c r="K13" s="34">
        <f t="shared" si="0"/>
        <v>7385002</v>
      </c>
    </row>
    <row r="14" spans="1:11" ht="19.149999999999999" customHeight="1" x14ac:dyDescent="0.25">
      <c r="A14" s="2" t="s">
        <v>10</v>
      </c>
      <c r="B14" s="15"/>
      <c r="C14" s="15"/>
      <c r="D14" s="15"/>
      <c r="E14" s="15"/>
      <c r="F14" s="15">
        <f>363356-5840</f>
        <v>357516</v>
      </c>
      <c r="G14" s="15"/>
      <c r="H14" s="15"/>
      <c r="I14" s="15"/>
      <c r="J14" s="15"/>
      <c r="K14" s="34">
        <f t="shared" si="0"/>
        <v>357516</v>
      </c>
    </row>
    <row r="15" spans="1:11" ht="19.149999999999999" customHeight="1" x14ac:dyDescent="0.25">
      <c r="A15" s="17" t="s">
        <v>11</v>
      </c>
      <c r="B15" s="16">
        <f t="shared" ref="B15:K15" si="1">SUM(B9:B14)</f>
        <v>2736868</v>
      </c>
      <c r="C15" s="16">
        <f t="shared" si="1"/>
        <v>5475169</v>
      </c>
      <c r="D15" s="16">
        <f t="shared" si="1"/>
        <v>1286089</v>
      </c>
      <c r="E15" s="16">
        <f t="shared" si="1"/>
        <v>85077</v>
      </c>
      <c r="F15" s="16">
        <f t="shared" ref="F15" si="2">SUM(F9:F14)</f>
        <v>427012</v>
      </c>
      <c r="G15" s="16">
        <f t="shared" si="1"/>
        <v>223809</v>
      </c>
      <c r="H15" s="16">
        <f t="shared" si="1"/>
        <v>568087</v>
      </c>
      <c r="I15" s="16">
        <f t="shared" ref="I15" si="3">SUM(I9:I14)</f>
        <v>1795831</v>
      </c>
      <c r="J15" s="16">
        <f t="shared" si="1"/>
        <v>0</v>
      </c>
      <c r="K15" s="35">
        <f t="shared" si="1"/>
        <v>12597942</v>
      </c>
    </row>
    <row r="16" spans="1:11" ht="19.149999999999999" customHeight="1" x14ac:dyDescent="0.25">
      <c r="A16" s="2" t="s">
        <v>12</v>
      </c>
      <c r="B16" s="30"/>
      <c r="C16" s="30">
        <v>399489</v>
      </c>
      <c r="H16" s="15">
        <v>28320</v>
      </c>
      <c r="I16" s="15"/>
      <c r="J16" s="15"/>
      <c r="K16" s="34">
        <f>SUM(B16:J16)</f>
        <v>427809</v>
      </c>
    </row>
    <row r="17" spans="1:11" ht="19.149999999999999" customHeight="1" x14ac:dyDescent="0.25">
      <c r="A17" s="2" t="s">
        <v>13</v>
      </c>
      <c r="B17" s="15">
        <v>-887315</v>
      </c>
      <c r="C17" s="15"/>
      <c r="D17" s="15">
        <f>-111417-33175-419</f>
        <v>-145011</v>
      </c>
      <c r="E17" s="15"/>
      <c r="F17" s="15">
        <f>-5840</f>
        <v>-5840</v>
      </c>
      <c r="G17" s="15">
        <f>12659</f>
        <v>12659</v>
      </c>
      <c r="H17" s="15">
        <f>-23740</f>
        <v>-23740</v>
      </c>
      <c r="I17" s="15">
        <f>-267732</f>
        <v>-267732</v>
      </c>
      <c r="J17" s="15">
        <f>-342312+887315</f>
        <v>545003</v>
      </c>
      <c r="K17" s="34">
        <f>SUM(B17:J17)</f>
        <v>-771976</v>
      </c>
    </row>
    <row r="18" spans="1:11" ht="19.149999999999999" customHeight="1" x14ac:dyDescent="0.25">
      <c r="A18" s="2" t="s">
        <v>156</v>
      </c>
      <c r="B18" s="59">
        <f>255058+44170</f>
        <v>299228</v>
      </c>
      <c r="C18" s="60"/>
      <c r="D18" s="61">
        <f>111417</f>
        <v>111417</v>
      </c>
      <c r="E18" s="61"/>
      <c r="F18" s="61">
        <v>5840</v>
      </c>
      <c r="G18" s="61">
        <v>784</v>
      </c>
      <c r="H18" s="61">
        <v>23740</v>
      </c>
      <c r="I18" s="61">
        <v>267732</v>
      </c>
      <c r="J18" s="15"/>
      <c r="K18" s="34">
        <f>SUM(B18:J18)</f>
        <v>708741</v>
      </c>
    </row>
    <row r="19" spans="1:11" ht="19.149999999999999" customHeight="1" x14ac:dyDescent="0.25">
      <c r="A19" s="2" t="s">
        <v>157</v>
      </c>
      <c r="B19" s="30">
        <v>-342425</v>
      </c>
      <c r="C19" s="30"/>
      <c r="H19" s="15"/>
      <c r="I19" s="15"/>
      <c r="J19" s="15"/>
      <c r="K19" s="34">
        <f>SUM(B19:J19)</f>
        <v>-342425</v>
      </c>
    </row>
    <row r="20" spans="1:11" ht="15" customHeight="1" thickBot="1" x14ac:dyDescent="0.3">
      <c r="A20" s="18" t="s">
        <v>14</v>
      </c>
      <c r="B20" s="19">
        <f t="shared" ref="B20:K20" si="4">SUM(B15:B19)</f>
        <v>1806356</v>
      </c>
      <c r="C20" s="19">
        <f t="shared" si="4"/>
        <v>5874658</v>
      </c>
      <c r="D20" s="19">
        <f t="shared" si="4"/>
        <v>1252495</v>
      </c>
      <c r="E20" s="19">
        <f t="shared" si="4"/>
        <v>85077</v>
      </c>
      <c r="F20" s="19">
        <f t="shared" si="4"/>
        <v>427012</v>
      </c>
      <c r="G20" s="19">
        <f t="shared" si="4"/>
        <v>237252</v>
      </c>
      <c r="H20" s="19">
        <f t="shared" si="4"/>
        <v>596407</v>
      </c>
      <c r="I20" s="19">
        <f t="shared" si="4"/>
        <v>1795831</v>
      </c>
      <c r="J20" s="19">
        <f t="shared" si="4"/>
        <v>545003</v>
      </c>
      <c r="K20" s="36">
        <f t="shared" si="4"/>
        <v>12620091</v>
      </c>
    </row>
    <row r="21" spans="1:11" ht="15" customHeight="1" x14ac:dyDescent="0.25">
      <c r="A21" s="2" t="s">
        <v>214</v>
      </c>
      <c r="B21" s="20"/>
      <c r="C21" s="21"/>
      <c r="D21" s="21"/>
      <c r="E21" s="21"/>
      <c r="F21" s="21"/>
      <c r="G21" s="21"/>
      <c r="H21" s="21"/>
      <c r="I21" s="21"/>
      <c r="J21" s="21"/>
      <c r="K21" s="21"/>
    </row>
    <row r="22" spans="1:11" ht="15" customHeight="1" x14ac:dyDescent="0.25">
      <c r="A22" s="2" t="s">
        <v>215</v>
      </c>
      <c r="B22" s="20"/>
      <c r="C22" s="21"/>
      <c r="D22" s="21"/>
      <c r="E22" s="21"/>
      <c r="F22" s="21"/>
      <c r="G22" s="21"/>
      <c r="H22" s="21"/>
      <c r="I22" s="21"/>
      <c r="J22" s="21"/>
      <c r="K22" s="21"/>
    </row>
    <row r="23" spans="1:11" ht="15" customHeight="1" x14ac:dyDescent="0.25">
      <c r="A23" s="2" t="s">
        <v>192</v>
      </c>
      <c r="B23" s="20"/>
      <c r="C23" s="21"/>
      <c r="D23" s="21"/>
      <c r="E23" s="21"/>
      <c r="F23" s="21"/>
      <c r="G23" s="21"/>
      <c r="H23" s="21"/>
      <c r="I23" s="21"/>
      <c r="J23" s="21"/>
      <c r="K23" s="21"/>
    </row>
    <row r="24" spans="1:11" ht="15" customHeight="1" x14ac:dyDescent="0.25">
      <c r="A24" s="69" t="s">
        <v>180</v>
      </c>
      <c r="B24" s="20"/>
      <c r="C24" s="21"/>
      <c r="D24" s="21"/>
      <c r="E24" s="21"/>
      <c r="F24" s="21"/>
      <c r="G24" s="21"/>
      <c r="H24" s="21"/>
      <c r="I24" s="21"/>
      <c r="J24" s="21"/>
      <c r="K24" s="21"/>
    </row>
    <row r="25" spans="1:11" ht="15" customHeight="1" x14ac:dyDescent="0.25">
      <c r="A25" s="57" t="s">
        <v>193</v>
      </c>
      <c r="B25" s="20"/>
      <c r="C25" s="21"/>
      <c r="D25" s="21"/>
      <c r="E25" s="21"/>
      <c r="F25" s="21"/>
      <c r="G25" s="21"/>
      <c r="H25" s="21"/>
      <c r="I25" s="21"/>
      <c r="J25" s="21"/>
      <c r="K25" s="21"/>
    </row>
    <row r="26" spans="1:11" ht="15" customHeight="1" x14ac:dyDescent="0.25">
      <c r="A26" s="57" t="s">
        <v>216</v>
      </c>
      <c r="B26" s="20"/>
      <c r="C26" s="21"/>
      <c r="D26" s="21"/>
      <c r="E26" s="21"/>
      <c r="F26" s="21"/>
      <c r="G26" s="21"/>
      <c r="H26" s="21"/>
      <c r="I26" s="21"/>
      <c r="J26" s="21"/>
      <c r="K26" s="21"/>
    </row>
    <row r="27" spans="1:11" ht="15" customHeight="1" x14ac:dyDescent="0.25">
      <c r="A27" s="57" t="s">
        <v>148</v>
      </c>
      <c r="B27" s="20"/>
      <c r="C27" s="21"/>
      <c r="D27" s="21"/>
      <c r="E27" s="21"/>
      <c r="F27" s="21"/>
      <c r="G27" s="21"/>
      <c r="H27" s="21"/>
      <c r="I27" s="21"/>
      <c r="J27" s="21"/>
      <c r="K27" s="21"/>
    </row>
    <row r="28" spans="1:11" ht="15" customHeight="1" x14ac:dyDescent="0.25">
      <c r="A28" s="57" t="s">
        <v>178</v>
      </c>
      <c r="B28" s="20"/>
      <c r="C28" s="21"/>
      <c r="D28" s="21"/>
      <c r="E28" s="21"/>
      <c r="F28" s="21"/>
      <c r="G28" s="21"/>
      <c r="H28" s="21"/>
      <c r="I28" s="21"/>
      <c r="J28" s="21"/>
      <c r="K28" s="21"/>
    </row>
    <row r="29" spans="1:11" ht="15" customHeight="1" x14ac:dyDescent="0.25">
      <c r="A29" s="57" t="s">
        <v>217</v>
      </c>
      <c r="B29" s="20"/>
      <c r="C29" s="21"/>
      <c r="D29" s="21"/>
      <c r="E29" s="21"/>
      <c r="F29" s="21"/>
      <c r="G29" s="21"/>
      <c r="H29" s="21"/>
      <c r="I29" s="21"/>
      <c r="J29" s="21"/>
      <c r="K29" s="21"/>
    </row>
    <row r="30" spans="1:11" ht="15" customHeight="1" x14ac:dyDescent="0.25">
      <c r="A30" s="57" t="s">
        <v>218</v>
      </c>
      <c r="B30" s="20"/>
      <c r="C30" s="21"/>
      <c r="D30" s="21"/>
      <c r="E30" s="21"/>
      <c r="F30" s="21"/>
      <c r="G30" s="21"/>
      <c r="H30" s="21"/>
      <c r="I30" s="21"/>
      <c r="J30" s="21"/>
      <c r="K30" s="21"/>
    </row>
    <row r="31" spans="1:11" ht="15" customHeight="1" x14ac:dyDescent="0.25">
      <c r="A31" s="57" t="s">
        <v>179</v>
      </c>
      <c r="B31" s="20"/>
      <c r="C31" s="21"/>
      <c r="D31" s="21"/>
      <c r="E31" s="21"/>
      <c r="F31" s="21"/>
      <c r="G31" s="21"/>
      <c r="H31" s="21"/>
      <c r="I31" s="21"/>
      <c r="J31" s="21"/>
      <c r="K31" s="21"/>
    </row>
    <row r="32" spans="1:11" ht="15" customHeight="1" x14ac:dyDescent="0.25">
      <c r="A32" s="57" t="s">
        <v>219</v>
      </c>
      <c r="B32" s="20"/>
      <c r="C32" s="21"/>
      <c r="D32" s="21"/>
      <c r="E32" s="21"/>
      <c r="F32" s="21"/>
      <c r="G32" s="21"/>
      <c r="H32" s="21"/>
      <c r="I32" s="21"/>
      <c r="J32" s="21"/>
      <c r="K32" s="21"/>
    </row>
    <row r="33" spans="1:15" ht="15" customHeight="1" x14ac:dyDescent="0.25">
      <c r="A33" s="57" t="s">
        <v>220</v>
      </c>
      <c r="B33" s="20"/>
      <c r="C33" s="21"/>
      <c r="D33" s="21"/>
      <c r="E33" s="21"/>
      <c r="F33" s="21"/>
      <c r="G33" s="21"/>
      <c r="H33" s="21"/>
      <c r="I33" s="21"/>
      <c r="J33" s="21"/>
      <c r="K33" s="21"/>
    </row>
    <row r="34" spans="1:15" ht="15" customHeight="1" x14ac:dyDescent="0.25">
      <c r="A34" s="57" t="s">
        <v>181</v>
      </c>
      <c r="B34" s="20"/>
      <c r="C34" s="21"/>
      <c r="D34" s="21"/>
      <c r="E34" s="21"/>
      <c r="F34" s="21"/>
      <c r="G34" s="21"/>
      <c r="H34" s="21"/>
      <c r="I34" s="21"/>
      <c r="J34" s="21"/>
      <c r="K34" s="21"/>
    </row>
    <row r="35" spans="1:15" ht="15" customHeight="1" x14ac:dyDescent="0.25">
      <c r="A35" s="57"/>
      <c r="B35" s="20"/>
      <c r="C35" s="21"/>
      <c r="D35" s="21"/>
      <c r="E35" s="21"/>
      <c r="F35" s="21"/>
      <c r="G35" s="21"/>
      <c r="H35" s="21"/>
      <c r="I35" s="21"/>
      <c r="J35" s="21"/>
      <c r="K35" s="21"/>
    </row>
    <row r="36" spans="1:15" x14ac:dyDescent="0.25">
      <c r="A36" s="2" t="s">
        <v>36</v>
      </c>
    </row>
    <row r="37" spans="1:15" x14ac:dyDescent="0.25">
      <c r="A37" s="50" t="s">
        <v>37</v>
      </c>
      <c r="B37" s="77" t="s">
        <v>38</v>
      </c>
      <c r="C37" s="78"/>
      <c r="D37" s="79"/>
      <c r="E37" s="44" t="s">
        <v>39</v>
      </c>
    </row>
    <row r="38" spans="1:15" x14ac:dyDescent="0.25">
      <c r="A38" t="s">
        <v>6</v>
      </c>
      <c r="B38" s="38" t="s">
        <v>40</v>
      </c>
      <c r="C38" s="48"/>
      <c r="D38" s="48"/>
      <c r="E38" s="38">
        <v>661.33000000000015</v>
      </c>
      <c r="F38" s="38"/>
      <c r="G38" s="48"/>
    </row>
    <row r="39" spans="1:15" x14ac:dyDescent="0.25">
      <c r="A39" t="s">
        <v>6</v>
      </c>
      <c r="B39" s="38" t="s">
        <v>41</v>
      </c>
      <c r="C39" s="48"/>
      <c r="D39" s="48"/>
      <c r="E39" s="38">
        <v>1175.74</v>
      </c>
      <c r="F39" s="38"/>
      <c r="G39" s="48"/>
      <c r="L39" s="45"/>
      <c r="O39" s="46"/>
    </row>
    <row r="40" spans="1:15" x14ac:dyDescent="0.25">
      <c r="A40" t="s">
        <v>6</v>
      </c>
      <c r="B40" s="38" t="s">
        <v>42</v>
      </c>
      <c r="C40" s="48"/>
      <c r="D40" s="48"/>
      <c r="E40" s="38">
        <v>-5822</v>
      </c>
      <c r="F40" s="38"/>
      <c r="G40" s="48"/>
      <c r="L40" s="45"/>
      <c r="O40" s="46"/>
    </row>
    <row r="41" spans="1:15" x14ac:dyDescent="0.25">
      <c r="A41" t="s">
        <v>6</v>
      </c>
      <c r="B41" s="38" t="s">
        <v>43</v>
      </c>
      <c r="C41" s="48"/>
      <c r="D41" s="48"/>
      <c r="E41" s="38">
        <v>6435.7799999999979</v>
      </c>
      <c r="F41" s="38"/>
      <c r="G41" s="48"/>
      <c r="L41" s="45"/>
      <c r="O41" s="46"/>
    </row>
    <row r="42" spans="1:15" x14ac:dyDescent="0.25">
      <c r="A42" t="s">
        <v>6</v>
      </c>
      <c r="B42" s="38" t="s">
        <v>44</v>
      </c>
      <c r="C42" s="48"/>
      <c r="D42" s="48"/>
      <c r="E42" s="38">
        <v>59.879999999999924</v>
      </c>
      <c r="F42" s="38"/>
      <c r="G42" s="48"/>
      <c r="L42" s="45"/>
      <c r="O42" s="46"/>
    </row>
    <row r="43" spans="1:15" x14ac:dyDescent="0.25">
      <c r="A43" t="s">
        <v>6</v>
      </c>
      <c r="B43" s="38" t="s">
        <v>45</v>
      </c>
      <c r="C43" s="48"/>
      <c r="D43" s="48"/>
      <c r="E43" s="38">
        <v>7974.0199999999977</v>
      </c>
      <c r="F43" s="38"/>
      <c r="G43" s="48"/>
      <c r="L43" s="45"/>
      <c r="O43" s="47"/>
    </row>
    <row r="44" spans="1:15" x14ac:dyDescent="0.25">
      <c r="A44" t="s">
        <v>6</v>
      </c>
      <c r="B44" s="38" t="s">
        <v>46</v>
      </c>
      <c r="C44" s="48"/>
      <c r="D44" s="48"/>
      <c r="E44" s="38">
        <v>1695.1599999999999</v>
      </c>
      <c r="F44" s="38"/>
      <c r="G44" s="48"/>
      <c r="L44" s="45"/>
      <c r="O44" s="46"/>
    </row>
    <row r="45" spans="1:15" x14ac:dyDescent="0.25">
      <c r="A45" t="s">
        <v>6</v>
      </c>
      <c r="B45" s="38" t="s">
        <v>47</v>
      </c>
      <c r="C45" s="48"/>
      <c r="D45" s="48"/>
      <c r="E45" s="38">
        <v>268.10999999999137</v>
      </c>
      <c r="F45" s="38"/>
      <c r="G45" s="48"/>
      <c r="L45" s="45"/>
      <c r="O45" s="46"/>
    </row>
    <row r="46" spans="1:15" x14ac:dyDescent="0.25">
      <c r="A46" t="s">
        <v>6</v>
      </c>
      <c r="B46" s="38" t="s">
        <v>48</v>
      </c>
      <c r="C46" s="48"/>
      <c r="D46" s="48"/>
      <c r="E46" s="38">
        <v>-103.2399999999987</v>
      </c>
      <c r="F46" s="38"/>
      <c r="G46" s="48"/>
      <c r="L46" s="45"/>
      <c r="O46" s="46"/>
    </row>
    <row r="47" spans="1:15" x14ac:dyDescent="0.25">
      <c r="A47" t="s">
        <v>6</v>
      </c>
      <c r="B47" s="38" t="s">
        <v>49</v>
      </c>
      <c r="C47" s="48"/>
      <c r="D47" s="48"/>
      <c r="E47" s="38">
        <v>60.469999999999317</v>
      </c>
      <c r="F47" s="38"/>
      <c r="G47" s="48"/>
      <c r="L47" s="45"/>
      <c r="O47" s="46"/>
    </row>
    <row r="48" spans="1:15" x14ac:dyDescent="0.25">
      <c r="A48" t="s">
        <v>6</v>
      </c>
      <c r="B48" s="38" t="s">
        <v>50</v>
      </c>
      <c r="C48" s="48"/>
      <c r="D48" s="48"/>
      <c r="E48" s="38">
        <v>-6683.69</v>
      </c>
      <c r="F48" s="38"/>
      <c r="G48" s="48"/>
      <c r="L48" s="45"/>
      <c r="O48" s="46"/>
    </row>
    <row r="49" spans="1:15" x14ac:dyDescent="0.25">
      <c r="A49" t="s">
        <v>6</v>
      </c>
      <c r="B49" s="38" t="s">
        <v>51</v>
      </c>
      <c r="C49" s="48"/>
      <c r="D49" s="48"/>
      <c r="E49" s="38">
        <v>89.079999999996858</v>
      </c>
      <c r="F49" s="38"/>
      <c r="G49" s="48"/>
      <c r="L49" s="45"/>
      <c r="O49" s="46"/>
    </row>
    <row r="50" spans="1:15" x14ac:dyDescent="0.25">
      <c r="A50" t="s">
        <v>6</v>
      </c>
      <c r="B50" s="38" t="s">
        <v>52</v>
      </c>
      <c r="C50" s="48"/>
      <c r="D50" s="48"/>
      <c r="E50" s="38">
        <v>-823.41000000000099</v>
      </c>
      <c r="F50" s="38"/>
      <c r="G50" s="48"/>
      <c r="L50" s="45"/>
      <c r="O50" s="46"/>
    </row>
    <row r="51" spans="1:15" x14ac:dyDescent="0.25">
      <c r="A51" t="s">
        <v>6</v>
      </c>
      <c r="B51" s="38" t="s">
        <v>53</v>
      </c>
      <c r="C51" s="48"/>
      <c r="D51" s="48"/>
      <c r="E51" s="38">
        <v>-431.95</v>
      </c>
      <c r="F51" s="38"/>
      <c r="G51" s="48"/>
      <c r="L51" s="45"/>
      <c r="O51" s="46"/>
    </row>
    <row r="52" spans="1:15" x14ac:dyDescent="0.25">
      <c r="A52" t="s">
        <v>6</v>
      </c>
      <c r="B52" s="38" t="s">
        <v>54</v>
      </c>
      <c r="C52" s="48"/>
      <c r="D52" s="48"/>
      <c r="E52" s="38">
        <v>85.709999999999923</v>
      </c>
      <c r="F52" s="38"/>
      <c r="G52" s="48"/>
      <c r="L52" s="45"/>
      <c r="O52" s="47"/>
    </row>
    <row r="53" spans="1:15" x14ac:dyDescent="0.25">
      <c r="A53" t="s">
        <v>6</v>
      </c>
      <c r="B53" s="38" t="s">
        <v>55</v>
      </c>
      <c r="C53" s="48"/>
      <c r="D53" s="48"/>
      <c r="E53" s="38">
        <v>-4321.67</v>
      </c>
      <c r="F53" s="38"/>
      <c r="G53" s="48"/>
      <c r="L53" s="45"/>
      <c r="O53" s="46"/>
    </row>
    <row r="54" spans="1:15" x14ac:dyDescent="0.25">
      <c r="A54" t="s">
        <v>6</v>
      </c>
      <c r="B54" s="38" t="s">
        <v>143</v>
      </c>
      <c r="C54" s="48"/>
      <c r="D54" s="48"/>
      <c r="E54" s="38">
        <v>378</v>
      </c>
      <c r="F54" s="38"/>
      <c r="G54" s="48"/>
      <c r="L54" s="45"/>
      <c r="O54" s="46"/>
    </row>
    <row r="55" spans="1:15" x14ac:dyDescent="0.25">
      <c r="A55" t="s">
        <v>6</v>
      </c>
      <c r="B55" s="38" t="s">
        <v>56</v>
      </c>
      <c r="C55" s="48"/>
      <c r="D55" s="48"/>
      <c r="E55" s="38">
        <v>21467</v>
      </c>
      <c r="F55" s="38"/>
      <c r="G55" s="48"/>
      <c r="L55" s="45"/>
      <c r="O55" s="46"/>
    </row>
    <row r="56" spans="1:15" x14ac:dyDescent="0.25">
      <c r="A56" t="s">
        <v>6</v>
      </c>
      <c r="B56" s="38" t="s">
        <v>57</v>
      </c>
      <c r="C56" s="48"/>
      <c r="D56" s="48"/>
      <c r="E56" s="38">
        <v>7986.8200000000006</v>
      </c>
      <c r="F56" s="38"/>
      <c r="G56" s="48"/>
      <c r="L56" s="45"/>
      <c r="O56" s="46"/>
    </row>
    <row r="57" spans="1:15" x14ac:dyDescent="0.25">
      <c r="A57" t="s">
        <v>6</v>
      </c>
      <c r="B57" s="38" t="s">
        <v>58</v>
      </c>
      <c r="C57" s="48"/>
      <c r="D57" s="48"/>
      <c r="E57" s="38">
        <v>1743</v>
      </c>
      <c r="F57" s="38"/>
      <c r="G57" s="48"/>
      <c r="L57" s="45"/>
      <c r="O57" s="46"/>
    </row>
    <row r="58" spans="1:15" x14ac:dyDescent="0.25">
      <c r="A58" t="s">
        <v>6</v>
      </c>
      <c r="B58" s="38" t="s">
        <v>144</v>
      </c>
      <c r="C58" s="48"/>
      <c r="D58" s="48"/>
      <c r="E58" s="38">
        <v>1712</v>
      </c>
      <c r="F58" s="38"/>
      <c r="G58" s="48"/>
      <c r="L58" s="45"/>
      <c r="O58" s="46"/>
    </row>
    <row r="59" spans="1:15" x14ac:dyDescent="0.25">
      <c r="A59" t="s">
        <v>6</v>
      </c>
      <c r="B59" s="38" t="s">
        <v>59</v>
      </c>
      <c r="C59" s="48"/>
      <c r="D59" s="48"/>
      <c r="E59" s="38">
        <v>19958.059999999994</v>
      </c>
      <c r="F59" s="38"/>
      <c r="G59" s="48"/>
      <c r="L59" s="45"/>
      <c r="O59" s="47"/>
    </row>
    <row r="60" spans="1:15" x14ac:dyDescent="0.25">
      <c r="A60" t="s">
        <v>6</v>
      </c>
      <c r="B60" s="38" t="s">
        <v>60</v>
      </c>
      <c r="C60" s="48"/>
      <c r="D60" s="48"/>
      <c r="E60" s="38">
        <v>-19.889999999995155</v>
      </c>
      <c r="F60" s="38"/>
      <c r="G60" s="48"/>
      <c r="L60" s="45"/>
      <c r="O60" s="46"/>
    </row>
    <row r="61" spans="1:15" x14ac:dyDescent="0.25">
      <c r="A61" t="s">
        <v>6</v>
      </c>
      <c r="B61" s="38" t="s">
        <v>61</v>
      </c>
      <c r="C61" s="48"/>
      <c r="D61" s="48"/>
      <c r="E61" s="38">
        <v>371.21000000000066</v>
      </c>
      <c r="F61" s="38"/>
      <c r="G61" s="48"/>
      <c r="L61" s="45"/>
      <c r="O61" s="46"/>
    </row>
    <row r="62" spans="1:15" x14ac:dyDescent="0.25">
      <c r="A62" t="s">
        <v>6</v>
      </c>
      <c r="B62" s="38" t="s">
        <v>62</v>
      </c>
      <c r="C62" s="48"/>
      <c r="D62" s="48"/>
      <c r="E62" s="38">
        <v>-75.639999999999489</v>
      </c>
      <c r="F62" s="38"/>
      <c r="G62" s="48"/>
      <c r="L62" s="45"/>
      <c r="O62" s="46"/>
    </row>
    <row r="63" spans="1:15" x14ac:dyDescent="0.25">
      <c r="A63" t="s">
        <v>6</v>
      </c>
      <c r="B63" s="38" t="s">
        <v>63</v>
      </c>
      <c r="C63" s="48"/>
      <c r="D63" s="48"/>
      <c r="E63" s="38">
        <v>797.34999999999718</v>
      </c>
      <c r="F63" s="38"/>
      <c r="G63" s="48"/>
      <c r="L63" s="45"/>
      <c r="O63" s="46"/>
    </row>
    <row r="64" spans="1:15" x14ac:dyDescent="0.25">
      <c r="A64" t="s">
        <v>6</v>
      </c>
      <c r="B64" s="38" t="s">
        <v>64</v>
      </c>
      <c r="C64" s="48"/>
      <c r="D64" s="48"/>
      <c r="E64" s="38">
        <v>-28.299999999999272</v>
      </c>
      <c r="F64" s="38"/>
      <c r="G64" s="48"/>
      <c r="L64" s="45"/>
      <c r="O64" s="46"/>
    </row>
    <row r="65" spans="1:15" x14ac:dyDescent="0.25">
      <c r="A65" t="s">
        <v>6</v>
      </c>
      <c r="B65" s="38" t="s">
        <v>65</v>
      </c>
      <c r="C65" s="48"/>
      <c r="D65" s="48"/>
      <c r="E65" s="38">
        <v>421.78999999999814</v>
      </c>
      <c r="F65" s="38"/>
      <c r="G65" s="48"/>
      <c r="L65" s="45"/>
      <c r="O65" s="46"/>
    </row>
    <row r="66" spans="1:15" x14ac:dyDescent="0.25">
      <c r="A66" t="s">
        <v>6</v>
      </c>
      <c r="B66" s="38" t="s">
        <v>66</v>
      </c>
      <c r="C66" s="48"/>
      <c r="D66" s="48"/>
      <c r="E66" s="38">
        <v>14681</v>
      </c>
      <c r="F66" s="38"/>
      <c r="G66" s="48"/>
      <c r="L66" s="45"/>
      <c r="O66" s="46"/>
    </row>
    <row r="67" spans="1:15" x14ac:dyDescent="0.25">
      <c r="A67" t="s">
        <v>6</v>
      </c>
      <c r="B67" s="38" t="s">
        <v>67</v>
      </c>
      <c r="C67" s="48"/>
      <c r="D67" s="48"/>
      <c r="E67" s="38">
        <v>1.3099999999998602</v>
      </c>
      <c r="F67" s="38"/>
      <c r="G67" s="48"/>
      <c r="L67" s="45"/>
      <c r="O67" s="46"/>
    </row>
    <row r="68" spans="1:15" x14ac:dyDescent="0.25">
      <c r="A68" t="s">
        <v>6</v>
      </c>
      <c r="B68" s="38" t="s">
        <v>68</v>
      </c>
      <c r="C68" s="48"/>
      <c r="D68" s="48"/>
      <c r="E68" s="38">
        <v>1659.8099999999997</v>
      </c>
      <c r="F68" s="38"/>
      <c r="G68" s="48"/>
      <c r="L68" s="45"/>
      <c r="O68" s="47"/>
    </row>
    <row r="69" spans="1:15" x14ac:dyDescent="0.25">
      <c r="A69" t="s">
        <v>6</v>
      </c>
      <c r="B69" s="38" t="s">
        <v>145</v>
      </c>
      <c r="C69" s="48"/>
      <c r="D69" s="48"/>
      <c r="E69" s="38">
        <v>-180.73000000000016</v>
      </c>
      <c r="F69" s="38"/>
      <c r="G69" s="48"/>
      <c r="L69" s="45"/>
      <c r="O69" s="46"/>
    </row>
    <row r="70" spans="1:15" x14ac:dyDescent="0.25">
      <c r="A70" t="s">
        <v>6</v>
      </c>
      <c r="B70" s="38" t="s">
        <v>69</v>
      </c>
      <c r="C70" s="48"/>
      <c r="D70" s="48"/>
      <c r="E70" s="38">
        <v>-1627.9099999999985</v>
      </c>
      <c r="F70" s="38"/>
      <c r="G70" s="48"/>
      <c r="L70" s="45"/>
      <c r="O70" s="46"/>
    </row>
    <row r="71" spans="1:15" x14ac:dyDescent="0.25">
      <c r="A71" t="s">
        <v>6</v>
      </c>
      <c r="B71" s="38" t="s">
        <v>70</v>
      </c>
      <c r="C71" s="48"/>
      <c r="D71" s="48"/>
      <c r="E71" s="38">
        <v>-741.91999999999553</v>
      </c>
      <c r="F71" s="38"/>
      <c r="G71" s="48"/>
      <c r="L71" s="45"/>
      <c r="O71" s="46"/>
    </row>
    <row r="72" spans="1:15" x14ac:dyDescent="0.25">
      <c r="A72" t="s">
        <v>6</v>
      </c>
      <c r="B72" s="38" t="s">
        <v>71</v>
      </c>
      <c r="C72" s="48"/>
      <c r="D72" s="48"/>
      <c r="E72" s="38">
        <v>-4042.6799999999935</v>
      </c>
      <c r="F72" s="38"/>
      <c r="G72" s="48"/>
      <c r="L72" s="45"/>
      <c r="O72" s="46"/>
    </row>
    <row r="73" spans="1:15" x14ac:dyDescent="0.25">
      <c r="A73" t="s">
        <v>6</v>
      </c>
      <c r="B73" s="38" t="s">
        <v>72</v>
      </c>
      <c r="C73" s="48"/>
      <c r="D73" s="48"/>
      <c r="E73" s="38">
        <v>1472.4300000000003</v>
      </c>
      <c r="F73" s="38"/>
      <c r="G73" s="48"/>
      <c r="L73" s="45"/>
      <c r="O73" s="46"/>
    </row>
    <row r="74" spans="1:15" x14ac:dyDescent="0.25">
      <c r="A74" t="s">
        <v>6</v>
      </c>
      <c r="B74" s="38" t="s">
        <v>73</v>
      </c>
      <c r="C74" s="48"/>
      <c r="D74" s="48"/>
      <c r="E74" s="38">
        <v>1153.9100000000001</v>
      </c>
      <c r="F74" s="38"/>
      <c r="G74" s="48"/>
      <c r="L74" s="45"/>
      <c r="O74" s="46"/>
    </row>
    <row r="75" spans="1:15" x14ac:dyDescent="0.25">
      <c r="A75" t="s">
        <v>6</v>
      </c>
      <c r="B75" s="38" t="s">
        <v>74</v>
      </c>
      <c r="C75" s="48"/>
      <c r="D75" s="48"/>
      <c r="E75" s="38">
        <v>315.90999999999951</v>
      </c>
      <c r="F75" s="38"/>
      <c r="G75" s="48"/>
      <c r="L75" s="45"/>
      <c r="O75" s="46"/>
    </row>
    <row r="76" spans="1:15" x14ac:dyDescent="0.25">
      <c r="A76" t="s">
        <v>6</v>
      </c>
      <c r="B76" s="38" t="s">
        <v>75</v>
      </c>
      <c r="C76" s="48"/>
      <c r="D76" s="48"/>
      <c r="E76" s="38">
        <v>15852.459999999995</v>
      </c>
      <c r="F76" s="38"/>
      <c r="G76" s="48"/>
      <c r="L76" s="45"/>
      <c r="O76" s="46"/>
    </row>
    <row r="77" spans="1:15" x14ac:dyDescent="0.25">
      <c r="A77" t="s">
        <v>6</v>
      </c>
      <c r="B77" s="38" t="s">
        <v>76</v>
      </c>
      <c r="C77" s="48"/>
      <c r="D77" s="48"/>
      <c r="E77" s="38">
        <v>-137.31000000000014</v>
      </c>
      <c r="F77" s="38"/>
      <c r="G77" s="48"/>
      <c r="L77" s="45"/>
      <c r="O77" s="46"/>
    </row>
    <row r="78" spans="1:15" x14ac:dyDescent="0.25">
      <c r="A78" t="s">
        <v>6</v>
      </c>
      <c r="B78" s="38" t="s">
        <v>77</v>
      </c>
      <c r="C78" s="48"/>
      <c r="D78" s="48"/>
      <c r="E78" s="38">
        <v>504.19999999999931</v>
      </c>
      <c r="F78" s="38"/>
      <c r="G78" s="48"/>
      <c r="L78" s="45"/>
      <c r="O78" s="46"/>
    </row>
    <row r="79" spans="1:15" x14ac:dyDescent="0.25">
      <c r="A79" t="s">
        <v>6</v>
      </c>
      <c r="B79" s="38" t="s">
        <v>80</v>
      </c>
      <c r="C79" s="48"/>
      <c r="D79" s="48"/>
      <c r="E79" s="38">
        <v>-98.560000000000173</v>
      </c>
      <c r="F79" s="38"/>
      <c r="G79" s="48"/>
      <c r="L79" s="45"/>
      <c r="O79" s="46"/>
    </row>
    <row r="80" spans="1:15" x14ac:dyDescent="0.25">
      <c r="A80" t="s">
        <v>6</v>
      </c>
      <c r="B80" s="38" t="s">
        <v>81</v>
      </c>
      <c r="C80" s="48"/>
      <c r="D80" s="48"/>
      <c r="E80" s="38">
        <v>-730.3</v>
      </c>
      <c r="F80" s="38"/>
      <c r="G80" s="48"/>
      <c r="L80" s="45"/>
      <c r="O80" s="46"/>
    </row>
    <row r="81" spans="1:15" x14ac:dyDescent="0.25">
      <c r="A81" t="s">
        <v>6</v>
      </c>
      <c r="B81" s="38" t="s">
        <v>82</v>
      </c>
      <c r="C81" s="48"/>
      <c r="D81" s="48"/>
      <c r="E81" s="38">
        <v>248</v>
      </c>
      <c r="F81" s="38"/>
      <c r="G81" s="48"/>
      <c r="L81" s="45"/>
      <c r="O81" s="47"/>
    </row>
    <row r="82" spans="1:15" x14ac:dyDescent="0.25">
      <c r="A82" t="s">
        <v>6</v>
      </c>
      <c r="B82" s="38" t="s">
        <v>146</v>
      </c>
      <c r="C82" s="48"/>
      <c r="D82" s="48"/>
      <c r="E82" s="38">
        <v>-289.75</v>
      </c>
      <c r="F82" s="38"/>
      <c r="G82" s="48"/>
      <c r="L82" s="45"/>
      <c r="O82" s="46"/>
    </row>
    <row r="83" spans="1:15" x14ac:dyDescent="0.25">
      <c r="A83" t="s">
        <v>6</v>
      </c>
      <c r="B83" s="38" t="s">
        <v>83</v>
      </c>
      <c r="E83" s="38">
        <v>105</v>
      </c>
      <c r="F83" s="38"/>
      <c r="L83" s="45"/>
      <c r="O83" s="46"/>
    </row>
    <row r="84" spans="1:15" x14ac:dyDescent="0.25">
      <c r="A84" t="s">
        <v>6</v>
      </c>
      <c r="B84" s="38" t="s">
        <v>84</v>
      </c>
      <c r="E84" s="38">
        <v>1901.4600000000007</v>
      </c>
      <c r="F84" s="38"/>
      <c r="L84" s="45"/>
      <c r="O84" s="46"/>
    </row>
    <row r="85" spans="1:15" ht="15.75" thickBot="1" x14ac:dyDescent="0.3">
      <c r="B85" s="38"/>
      <c r="E85" s="56">
        <f>SUM(E38:E84)</f>
        <v>85077.05</v>
      </c>
      <c r="F85" s="58"/>
      <c r="L85" s="45"/>
      <c r="O85" s="46"/>
    </row>
    <row r="86" spans="1:15" ht="15.75" thickTop="1" x14ac:dyDescent="0.25">
      <c r="B86" s="38"/>
      <c r="E86" s="49"/>
      <c r="F86" s="49"/>
      <c r="L86" s="45"/>
      <c r="O86" s="46"/>
    </row>
    <row r="87" spans="1:15" x14ac:dyDescent="0.25">
      <c r="A87" s="2" t="s">
        <v>85</v>
      </c>
      <c r="E87" s="30"/>
      <c r="F87" s="30"/>
      <c r="L87" s="45"/>
      <c r="O87" s="46"/>
    </row>
    <row r="88" spans="1:15" x14ac:dyDescent="0.25">
      <c r="A88" s="50" t="s">
        <v>37</v>
      </c>
      <c r="B88" s="77" t="s">
        <v>38</v>
      </c>
      <c r="C88" s="78"/>
      <c r="D88" s="79"/>
      <c r="E88" s="44" t="s">
        <v>39</v>
      </c>
      <c r="F88" s="44" t="s">
        <v>152</v>
      </c>
      <c r="G88" s="44" t="s">
        <v>86</v>
      </c>
      <c r="L88" s="45"/>
      <c r="O88" s="46"/>
    </row>
    <row r="89" spans="1:15" x14ac:dyDescent="0.25">
      <c r="A89" s="2" t="s">
        <v>6</v>
      </c>
      <c r="B89" s="38" t="s">
        <v>106</v>
      </c>
      <c r="E89" s="38">
        <v>51793.340000000011</v>
      </c>
      <c r="F89" s="38"/>
      <c r="L89" s="45"/>
      <c r="O89" s="46"/>
    </row>
    <row r="90" spans="1:15" x14ac:dyDescent="0.25">
      <c r="A90" s="2" t="s">
        <v>6</v>
      </c>
      <c r="B90" s="38" t="s">
        <v>139</v>
      </c>
      <c r="E90" s="38">
        <v>0</v>
      </c>
      <c r="F90" s="38"/>
    </row>
    <row r="91" spans="1:15" x14ac:dyDescent="0.25">
      <c r="A91" s="2" t="s">
        <v>6</v>
      </c>
      <c r="B91" s="38" t="s">
        <v>87</v>
      </c>
      <c r="E91" s="38">
        <v>12065.439999999999</v>
      </c>
      <c r="F91" s="38"/>
    </row>
    <row r="92" spans="1:15" x14ac:dyDescent="0.25">
      <c r="A92" s="2" t="s">
        <v>6</v>
      </c>
      <c r="B92" s="38" t="s">
        <v>88</v>
      </c>
      <c r="E92" s="38">
        <v>1241</v>
      </c>
      <c r="F92" s="38"/>
    </row>
    <row r="93" spans="1:15" x14ac:dyDescent="0.25">
      <c r="A93" s="2" t="s">
        <v>6</v>
      </c>
      <c r="B93" s="38" t="s">
        <v>89</v>
      </c>
      <c r="E93" s="38">
        <v>-150</v>
      </c>
      <c r="F93" s="38"/>
    </row>
    <row r="94" spans="1:15" x14ac:dyDescent="0.25">
      <c r="A94" s="2" t="s">
        <v>6</v>
      </c>
      <c r="B94" s="38" t="s">
        <v>90</v>
      </c>
      <c r="E94" s="38">
        <v>12313</v>
      </c>
      <c r="F94" s="38"/>
    </row>
    <row r="95" spans="1:15" x14ac:dyDescent="0.25">
      <c r="A95" s="2" t="s">
        <v>6</v>
      </c>
      <c r="B95" s="38" t="s">
        <v>140</v>
      </c>
      <c r="E95" s="38">
        <v>-2163</v>
      </c>
      <c r="F95" s="38"/>
    </row>
    <row r="96" spans="1:15" x14ac:dyDescent="0.25">
      <c r="A96" s="2" t="s">
        <v>6</v>
      </c>
      <c r="B96" s="38" t="s">
        <v>141</v>
      </c>
      <c r="E96" s="38">
        <v>388</v>
      </c>
      <c r="F96" s="38"/>
    </row>
    <row r="97" spans="1:7" x14ac:dyDescent="0.25">
      <c r="A97" s="2" t="s">
        <v>6</v>
      </c>
      <c r="B97" s="38" t="s">
        <v>91</v>
      </c>
      <c r="E97" s="38">
        <v>-1800</v>
      </c>
      <c r="F97" s="38"/>
    </row>
    <row r="98" spans="1:7" x14ac:dyDescent="0.25">
      <c r="A98" s="2" t="s">
        <v>6</v>
      </c>
      <c r="B98" s="38" t="s">
        <v>92</v>
      </c>
      <c r="E98" s="38">
        <v>885</v>
      </c>
      <c r="F98" s="38"/>
    </row>
    <row r="99" spans="1:7" x14ac:dyDescent="0.25">
      <c r="A99" s="2" t="s">
        <v>6</v>
      </c>
      <c r="B99" s="38" t="s">
        <v>78</v>
      </c>
      <c r="E99" s="38">
        <v>11080.939999999999</v>
      </c>
      <c r="F99" s="38"/>
    </row>
    <row r="100" spans="1:7" x14ac:dyDescent="0.25">
      <c r="A100" s="2" t="s">
        <v>6</v>
      </c>
      <c r="B100" s="38" t="s">
        <v>98</v>
      </c>
      <c r="E100" s="38"/>
      <c r="F100" s="38"/>
      <c r="G100" s="30"/>
    </row>
    <row r="101" spans="1:7" x14ac:dyDescent="0.25">
      <c r="A101" s="2" t="s">
        <v>6</v>
      </c>
      <c r="B101" s="38" t="s">
        <v>79</v>
      </c>
      <c r="E101" s="38">
        <v>3556</v>
      </c>
      <c r="F101" s="38"/>
      <c r="G101" s="30"/>
    </row>
    <row r="102" spans="1:7" x14ac:dyDescent="0.25">
      <c r="A102" s="2" t="s">
        <v>6</v>
      </c>
      <c r="B102" s="38" t="s">
        <v>93</v>
      </c>
      <c r="E102" s="38">
        <v>52047.49</v>
      </c>
      <c r="F102" s="38"/>
      <c r="G102" s="30"/>
    </row>
    <row r="103" spans="1:7" x14ac:dyDescent="0.25">
      <c r="A103" s="2" t="s">
        <v>6</v>
      </c>
      <c r="B103" s="38" t="s">
        <v>94</v>
      </c>
      <c r="E103" s="38">
        <v>21</v>
      </c>
      <c r="F103" s="38"/>
      <c r="G103" s="30"/>
    </row>
    <row r="104" spans="1:7" x14ac:dyDescent="0.25">
      <c r="A104" s="2" t="s">
        <v>6</v>
      </c>
      <c r="B104" s="38" t="s">
        <v>95</v>
      </c>
      <c r="E104" s="38">
        <v>7002</v>
      </c>
      <c r="F104" s="38">
        <v>-784</v>
      </c>
      <c r="G104" s="30"/>
    </row>
    <row r="105" spans="1:7" x14ac:dyDescent="0.25">
      <c r="A105" s="2" t="s">
        <v>6</v>
      </c>
      <c r="B105" s="38" t="s">
        <v>96</v>
      </c>
      <c r="E105" s="38">
        <v>16163</v>
      </c>
      <c r="F105" s="38"/>
      <c r="G105" s="30"/>
    </row>
    <row r="106" spans="1:7" x14ac:dyDescent="0.25">
      <c r="A106" s="2" t="s">
        <v>6</v>
      </c>
      <c r="B106" s="38" t="s">
        <v>97</v>
      </c>
      <c r="E106" s="38">
        <v>43744.510000000017</v>
      </c>
      <c r="F106" s="38"/>
      <c r="G106" s="30">
        <f>SUM(E89:F106)</f>
        <v>207403.72000000003</v>
      </c>
    </row>
    <row r="107" spans="1:7" x14ac:dyDescent="0.25">
      <c r="A107" s="2" t="s">
        <v>9</v>
      </c>
      <c r="B107" s="38" t="s">
        <v>106</v>
      </c>
      <c r="E107" s="30">
        <v>16405</v>
      </c>
      <c r="F107" s="30"/>
      <c r="G107" s="30">
        <f>SUM(E107:F107)</f>
        <v>16405</v>
      </c>
    </row>
    <row r="108" spans="1:7" x14ac:dyDescent="0.25">
      <c r="A108" s="2" t="s">
        <v>13</v>
      </c>
      <c r="B108" s="38" t="s">
        <v>142</v>
      </c>
      <c r="E108" s="38">
        <v>13293</v>
      </c>
      <c r="F108" s="38"/>
      <c r="G108" s="30"/>
    </row>
    <row r="109" spans="1:7" x14ac:dyDescent="0.25">
      <c r="A109" s="2" t="s">
        <v>13</v>
      </c>
      <c r="B109" s="38" t="s">
        <v>98</v>
      </c>
      <c r="E109" s="38">
        <v>150</v>
      </c>
      <c r="F109" s="38"/>
      <c r="G109" s="30"/>
    </row>
    <row r="110" spans="1:7" x14ac:dyDescent="0.25">
      <c r="A110" s="2" t="s">
        <v>13</v>
      </c>
      <c r="B110" s="38" t="s">
        <v>95</v>
      </c>
      <c r="E110" s="38">
        <v>-784</v>
      </c>
      <c r="F110" s="38">
        <v>784</v>
      </c>
      <c r="G110" s="30">
        <f>SUM(E108:F110)</f>
        <v>13443</v>
      </c>
    </row>
    <row r="111" spans="1:7" ht="15.75" thickBot="1" x14ac:dyDescent="0.3">
      <c r="E111" s="51">
        <f>SUM(E89:E110)</f>
        <v>237251.72000000003</v>
      </c>
      <c r="F111" s="51">
        <f>SUM(F89:F110)</f>
        <v>0</v>
      </c>
      <c r="G111" s="51">
        <f>SUM(G89:G110)</f>
        <v>237251.72000000003</v>
      </c>
    </row>
    <row r="112" spans="1:7" ht="15.75" thickTop="1" x14ac:dyDescent="0.25"/>
  </sheetData>
  <mergeCells count="3">
    <mergeCell ref="B5:K5"/>
    <mergeCell ref="B37:D37"/>
    <mergeCell ref="B88:D88"/>
  </mergeCells>
  <printOptions horizontalCentered="1"/>
  <pageMargins left="0.75" right="0.75" top="0.5" bottom="0.5" header="0.3" footer="0.3"/>
  <pageSetup scale="82" fitToHeight="0" orientation="landscape" r:id="rId1"/>
  <headerFooter>
    <oddFooter>&amp;L&amp;8&amp;D&amp;R&amp;8&amp;F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ABB9-19FC-4D18-8A91-B385766ADC35}">
  <sheetPr>
    <tabColor rgb="FFFFC000"/>
    <pageSetUpPr fitToPage="1"/>
  </sheetPr>
  <dimension ref="A1:J27"/>
  <sheetViews>
    <sheetView topLeftCell="K1" workbookViewId="0">
      <selection activeCell="I30" sqref="I30"/>
    </sheetView>
  </sheetViews>
  <sheetFormatPr defaultColWidth="8.85546875" defaultRowHeight="15" x14ac:dyDescent="0.25"/>
  <cols>
    <col min="1" max="1" width="26.28515625" style="2" customWidth="1"/>
    <col min="2" max="2" width="12.85546875" style="1" customWidth="1"/>
    <col min="3" max="3" width="11.85546875" style="1" customWidth="1"/>
    <col min="4" max="4" width="12.42578125" style="1" customWidth="1"/>
    <col min="5" max="5" width="13.140625" style="1" customWidth="1"/>
    <col min="6" max="9" width="11.85546875" style="1" customWidth="1"/>
    <col min="10" max="10" width="13.42578125" style="1" customWidth="1"/>
    <col min="11" max="22" width="14" style="2" customWidth="1"/>
    <col min="23" max="16384" width="8.85546875" style="2"/>
  </cols>
  <sheetData>
    <row r="1" spans="1:10" ht="25.9" customHeight="1" x14ac:dyDescent="0.4">
      <c r="A1" s="4"/>
      <c r="J1" s="37"/>
    </row>
    <row r="2" spans="1:10" ht="25.9" customHeight="1" x14ac:dyDescent="0.3">
      <c r="A2" s="4"/>
    </row>
    <row r="3" spans="1:10" ht="18.75" customHeight="1" x14ac:dyDescent="0.3">
      <c r="A3" s="4" t="s">
        <v>221</v>
      </c>
      <c r="J3" s="12" t="str">
        <f>+'Attachment A - Undesig'!O3</f>
        <v>BPA #23-03</v>
      </c>
    </row>
    <row r="4" spans="1:10" ht="20.100000000000001" customHeight="1" x14ac:dyDescent="0.25">
      <c r="A4" s="29">
        <f>+'Attachment A - Undesig'!A4</f>
        <v>45252</v>
      </c>
    </row>
    <row r="5" spans="1:10" x14ac:dyDescent="0.25">
      <c r="B5" s="76"/>
      <c r="C5" s="76"/>
      <c r="D5" s="76"/>
      <c r="E5" s="76"/>
      <c r="F5" s="76"/>
      <c r="G5" s="76"/>
      <c r="H5" s="76"/>
      <c r="I5" s="76"/>
      <c r="J5" s="76"/>
    </row>
    <row r="6" spans="1:10" x14ac:dyDescent="0.25">
      <c r="B6" s="1">
        <v>-1</v>
      </c>
      <c r="C6" s="1">
        <v>-2</v>
      </c>
      <c r="J6" s="31"/>
    </row>
    <row r="7" spans="1:10" ht="60.75" thickBot="1" x14ac:dyDescent="0.3">
      <c r="A7" s="8"/>
      <c r="B7" s="9" t="s">
        <v>169</v>
      </c>
      <c r="C7" s="9" t="s">
        <v>168</v>
      </c>
      <c r="D7" s="9" t="s">
        <v>170</v>
      </c>
      <c r="E7" s="9" t="s">
        <v>171</v>
      </c>
      <c r="F7" s="9" t="s">
        <v>172</v>
      </c>
      <c r="G7" s="9" t="s">
        <v>173</v>
      </c>
      <c r="H7" s="9" t="s">
        <v>177</v>
      </c>
      <c r="I7" s="9" t="s">
        <v>174</v>
      </c>
      <c r="J7" s="32" t="s">
        <v>167</v>
      </c>
    </row>
    <row r="8" spans="1:10" ht="19.149999999999999" customHeight="1" x14ac:dyDescent="0.25">
      <c r="A8" s="22"/>
      <c r="B8" s="24"/>
      <c r="C8" s="24"/>
      <c r="D8" s="24"/>
      <c r="E8" s="24"/>
      <c r="F8" s="24"/>
      <c r="G8" s="24"/>
      <c r="H8" s="24"/>
      <c r="I8" s="24"/>
      <c r="J8" s="33"/>
    </row>
    <row r="9" spans="1:10" ht="19.149999999999999" customHeight="1" x14ac:dyDescent="0.25">
      <c r="A9" s="2" t="s">
        <v>5</v>
      </c>
      <c r="B9" s="2">
        <v>635715.63000000012</v>
      </c>
      <c r="C9" s="2">
        <v>4126.4499999999753</v>
      </c>
      <c r="D9" s="2"/>
      <c r="E9" s="2"/>
      <c r="F9" s="2"/>
      <c r="G9" s="2"/>
      <c r="H9" s="2"/>
      <c r="I9" s="2"/>
      <c r="J9" s="34">
        <f t="shared" ref="J9:J14" si="0">SUM(B9:I9)</f>
        <v>639842.08000000007</v>
      </c>
    </row>
    <row r="10" spans="1:10" ht="19.149999999999999" customHeight="1" x14ac:dyDescent="0.25">
      <c r="A10" s="2" t="s">
        <v>6</v>
      </c>
      <c r="B10" s="2">
        <v>8868683.5399999805</v>
      </c>
      <c r="C10" s="2">
        <v>45056.339999999909</v>
      </c>
      <c r="D10" s="2">
        <v>83847.98</v>
      </c>
      <c r="E10" s="2">
        <v>351</v>
      </c>
      <c r="F10" s="2"/>
      <c r="G10" s="2"/>
      <c r="H10" s="2"/>
      <c r="I10" s="2">
        <v>4425</v>
      </c>
      <c r="J10" s="34">
        <f t="shared" si="0"/>
        <v>9002363.8599999808</v>
      </c>
    </row>
    <row r="11" spans="1:10" ht="19.149999999999999" customHeight="1" x14ac:dyDescent="0.25">
      <c r="A11" s="2" t="s">
        <v>7</v>
      </c>
      <c r="B11" s="2">
        <v>11225127.599999934</v>
      </c>
      <c r="C11" s="2">
        <v>267255.09999999998</v>
      </c>
      <c r="D11" s="2">
        <v>162459.50999999998</v>
      </c>
      <c r="E11" s="2"/>
      <c r="F11" s="2">
        <v>19459</v>
      </c>
      <c r="G11" s="2">
        <v>396513</v>
      </c>
      <c r="H11" s="2"/>
      <c r="I11" s="2"/>
      <c r="J11" s="34">
        <f t="shared" si="0"/>
        <v>12070814.209999934</v>
      </c>
    </row>
    <row r="12" spans="1:10" ht="19.149999999999999" customHeight="1" x14ac:dyDescent="0.25">
      <c r="A12" s="2" t="s">
        <v>8</v>
      </c>
      <c r="B12" s="2">
        <v>1930550.050000004</v>
      </c>
      <c r="C12" s="2">
        <v>335156.75999999634</v>
      </c>
      <c r="D12" s="2">
        <v>0</v>
      </c>
      <c r="E12" s="2"/>
      <c r="F12" s="2"/>
      <c r="G12" s="2"/>
      <c r="H12" s="2"/>
      <c r="I12" s="2"/>
      <c r="J12" s="34">
        <f t="shared" si="0"/>
        <v>2265706.8100000005</v>
      </c>
    </row>
    <row r="13" spans="1:10" ht="19.149999999999999" customHeight="1" x14ac:dyDescent="0.25">
      <c r="A13" s="2" t="s">
        <v>9</v>
      </c>
      <c r="B13" s="2">
        <v>1583148.9399999985</v>
      </c>
      <c r="C13" s="2">
        <v>-27221.020000000004</v>
      </c>
      <c r="D13" s="2">
        <v>12535.360000000004</v>
      </c>
      <c r="E13" s="2"/>
      <c r="F13" s="2"/>
      <c r="G13" s="2"/>
      <c r="H13" s="2"/>
      <c r="I13" s="2"/>
      <c r="J13" s="34">
        <f t="shared" si="0"/>
        <v>1568463.2799999986</v>
      </c>
    </row>
    <row r="14" spans="1:10" ht="19.149999999999999" customHeight="1" x14ac:dyDescent="0.25">
      <c r="A14" s="2" t="s">
        <v>10</v>
      </c>
      <c r="B14" s="2">
        <v>220657.48</v>
      </c>
      <c r="C14" s="2">
        <v>-401647.10000000033</v>
      </c>
      <c r="D14" s="2"/>
      <c r="E14" s="2"/>
      <c r="F14" s="2"/>
      <c r="G14" s="2"/>
      <c r="H14" s="2"/>
      <c r="I14" s="2"/>
      <c r="J14" s="34">
        <f t="shared" si="0"/>
        <v>-180989.62000000032</v>
      </c>
    </row>
    <row r="15" spans="1:10" ht="19.149999999999999" customHeight="1" x14ac:dyDescent="0.25">
      <c r="A15" s="17" t="s">
        <v>11</v>
      </c>
      <c r="B15" s="16">
        <f t="shared" ref="B15:J15" si="1">SUM(B9:B14)</f>
        <v>24463883.239999916</v>
      </c>
      <c r="C15" s="16">
        <f t="shared" si="1"/>
        <v>222726.52999999584</v>
      </c>
      <c r="D15" s="16">
        <f t="shared" si="1"/>
        <v>258842.85</v>
      </c>
      <c r="E15" s="16">
        <f t="shared" si="1"/>
        <v>351</v>
      </c>
      <c r="F15" s="16">
        <f t="shared" si="1"/>
        <v>19459</v>
      </c>
      <c r="G15" s="16">
        <f t="shared" si="1"/>
        <v>396513</v>
      </c>
      <c r="H15" s="16"/>
      <c r="I15" s="16">
        <f t="shared" si="1"/>
        <v>4425</v>
      </c>
      <c r="J15" s="35">
        <f t="shared" si="1"/>
        <v>25366200.619999915</v>
      </c>
    </row>
    <row r="16" spans="1:10" ht="19.149999999999999" customHeight="1" x14ac:dyDescent="0.25">
      <c r="A16" s="2" t="s">
        <v>12</v>
      </c>
      <c r="B16" s="30"/>
      <c r="C16" s="30"/>
      <c r="G16" s="15"/>
      <c r="H16" s="15"/>
      <c r="I16" s="15"/>
      <c r="J16" s="34">
        <f>SUM(B16:I16)</f>
        <v>0</v>
      </c>
    </row>
    <row r="17" spans="1:10" ht="19.149999999999999" customHeight="1" x14ac:dyDescent="0.25">
      <c r="A17" s="2" t="s">
        <v>13</v>
      </c>
      <c r="B17" s="2">
        <f>178368.099999998+2217958</f>
        <v>2396326.0999999978</v>
      </c>
      <c r="C17" s="2">
        <f>-225679.930000006+526504</f>
        <v>300824.06999999401</v>
      </c>
      <c r="D17" s="2">
        <f>64668.4799999999+22032</f>
        <v>86700.479999999894</v>
      </c>
      <c r="E17" s="2">
        <v>0</v>
      </c>
      <c r="F17" s="2">
        <f>18654.2-6536</f>
        <v>12118.2</v>
      </c>
      <c r="G17" s="2">
        <v>0</v>
      </c>
      <c r="H17" s="2">
        <v>834000</v>
      </c>
      <c r="I17" s="2"/>
      <c r="J17" s="34">
        <f>SUM(B17:I17)</f>
        <v>3629968.8499999917</v>
      </c>
    </row>
    <row r="18" spans="1:10" ht="15" customHeight="1" thickBot="1" x14ac:dyDescent="0.3">
      <c r="A18" s="18" t="s">
        <v>14</v>
      </c>
      <c r="B18" s="19">
        <f>SUM(B15:B17)</f>
        <v>26860209.339999914</v>
      </c>
      <c r="C18" s="19">
        <f t="shared" ref="C18:G18" si="2">SUM(C15:C17)</f>
        <v>523550.59999998985</v>
      </c>
      <c r="D18" s="19">
        <f t="shared" si="2"/>
        <v>345543.3299999999</v>
      </c>
      <c r="E18" s="19">
        <f t="shared" si="2"/>
        <v>351</v>
      </c>
      <c r="F18" s="19">
        <f t="shared" si="2"/>
        <v>31577.200000000001</v>
      </c>
      <c r="G18" s="19">
        <f t="shared" si="2"/>
        <v>396513</v>
      </c>
      <c r="H18" s="19">
        <f>SUM(H15:H17)</f>
        <v>834000</v>
      </c>
      <c r="I18" s="19">
        <f>SUM(I15:I17)</f>
        <v>4425</v>
      </c>
      <c r="J18" s="36">
        <f>SUM(J15:J17)</f>
        <v>28996169.469999906</v>
      </c>
    </row>
    <row r="19" spans="1:10" ht="15" customHeight="1" x14ac:dyDescent="0.25">
      <c r="A19" s="20"/>
      <c r="B19" s="30"/>
      <c r="C19" s="21"/>
      <c r="D19" s="21"/>
      <c r="E19" s="21"/>
      <c r="F19" s="21"/>
      <c r="G19" s="21"/>
      <c r="H19" s="21"/>
      <c r="I19" s="21"/>
      <c r="J19" s="21"/>
    </row>
    <row r="20" spans="1:10" ht="15" customHeight="1" x14ac:dyDescent="0.25">
      <c r="A20" s="57" t="s">
        <v>175</v>
      </c>
      <c r="B20" s="30"/>
      <c r="C20" s="68"/>
      <c r="D20" s="68"/>
      <c r="E20" s="68"/>
      <c r="F20" s="68"/>
      <c r="G20" s="68"/>
      <c r="H20" s="68"/>
      <c r="I20" s="68"/>
      <c r="J20" s="68"/>
    </row>
    <row r="21" spans="1:10" ht="15" customHeight="1" x14ac:dyDescent="0.25">
      <c r="A21" s="57" t="s">
        <v>176</v>
      </c>
      <c r="B21" s="30"/>
      <c r="C21" s="68"/>
      <c r="D21" s="68"/>
      <c r="E21" s="68"/>
      <c r="F21" s="68"/>
      <c r="G21" s="68"/>
      <c r="H21" s="68"/>
      <c r="I21" s="68"/>
      <c r="J21" s="68"/>
    </row>
    <row r="22" spans="1:10" ht="15" customHeight="1" x14ac:dyDescent="0.25">
      <c r="A22" s="57"/>
      <c r="B22" s="30"/>
      <c r="C22" s="68"/>
      <c r="D22" s="68"/>
      <c r="E22" s="68"/>
      <c r="F22" s="68"/>
      <c r="G22" s="68"/>
      <c r="H22" s="68"/>
      <c r="I22" s="68"/>
      <c r="J22" s="68"/>
    </row>
    <row r="23" spans="1:10" ht="15" customHeight="1" x14ac:dyDescent="0.25">
      <c r="A23" s="57"/>
      <c r="B23" s="30"/>
      <c r="C23" s="68"/>
      <c r="D23" s="68"/>
      <c r="E23" s="68"/>
      <c r="F23" s="71"/>
      <c r="G23" s="68"/>
      <c r="H23" s="68"/>
      <c r="I23" s="68"/>
      <c r="J23" s="68"/>
    </row>
    <row r="24" spans="1:10" ht="15" customHeight="1" x14ac:dyDescent="0.25">
      <c r="A24" s="57"/>
      <c r="B24" s="30"/>
      <c r="C24" s="68"/>
      <c r="D24" s="68"/>
      <c r="E24" s="68"/>
      <c r="F24" s="68"/>
      <c r="G24" s="68"/>
      <c r="H24" s="68"/>
      <c r="I24" s="68"/>
      <c r="J24" s="68"/>
    </row>
    <row r="25" spans="1:10" ht="15" customHeight="1" x14ac:dyDescent="0.25">
      <c r="A25" s="57"/>
      <c r="B25" s="30"/>
      <c r="C25" s="68"/>
      <c r="D25" s="68"/>
      <c r="E25" s="68"/>
      <c r="F25" s="68"/>
      <c r="G25" s="68"/>
      <c r="H25" s="68"/>
      <c r="I25" s="68"/>
      <c r="J25" s="68"/>
    </row>
    <row r="26" spans="1:10" ht="15" customHeight="1" x14ac:dyDescent="0.25">
      <c r="A26" s="57"/>
      <c r="B26" s="30"/>
      <c r="C26" s="68"/>
      <c r="D26" s="68"/>
      <c r="E26" s="68"/>
      <c r="F26" s="68"/>
      <c r="G26" s="68"/>
      <c r="H26" s="68"/>
      <c r="I26" s="68"/>
      <c r="J26" s="68"/>
    </row>
    <row r="27" spans="1:10" ht="15" customHeight="1" x14ac:dyDescent="0.25">
      <c r="A27" s="57"/>
      <c r="B27" s="38"/>
      <c r="C27" s="68"/>
      <c r="D27" s="68"/>
      <c r="E27" s="68"/>
      <c r="F27" s="68"/>
      <c r="G27" s="68"/>
      <c r="H27" s="68"/>
      <c r="I27" s="68"/>
      <c r="J27" s="68"/>
    </row>
  </sheetData>
  <mergeCells count="1">
    <mergeCell ref="B5:J5"/>
  </mergeCells>
  <printOptions horizontalCentered="1"/>
  <pageMargins left="0.75" right="0.75" top="0.5" bottom="0.5" header="0.3" footer="0.3"/>
  <pageSetup scale="88" fitToHeight="0" orientation="landscape" r:id="rId1"/>
  <headerFooter>
    <oddFooter>&amp;L&amp;8&amp;D&amp;R&amp;8&amp;F</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DACA-5385-4B82-965E-284219926033}">
  <sheetPr>
    <tabColor rgb="FFFFC000"/>
    <pageSetUpPr fitToPage="1"/>
  </sheetPr>
  <dimension ref="A1:E19"/>
  <sheetViews>
    <sheetView tabSelected="1" topLeftCell="A2" workbookViewId="0">
      <selection activeCell="N32" sqref="N32"/>
    </sheetView>
  </sheetViews>
  <sheetFormatPr defaultColWidth="8.85546875" defaultRowHeight="15" x14ac:dyDescent="0.25"/>
  <cols>
    <col min="1" max="1" width="29.28515625" style="2" customWidth="1"/>
    <col min="2" max="2" width="14" style="1" bestFit="1" customWidth="1"/>
    <col min="3" max="4" width="14" style="1" customWidth="1"/>
    <col min="5" max="5" width="13.7109375" style="1" customWidth="1"/>
    <col min="6" max="17" width="14" style="2" customWidth="1"/>
    <col min="18" max="16384" width="8.85546875" style="2"/>
  </cols>
  <sheetData>
    <row r="1" spans="1:5" ht="25.9" customHeight="1" x14ac:dyDescent="0.4">
      <c r="A1" s="4"/>
      <c r="E1" s="37"/>
    </row>
    <row r="2" spans="1:5" ht="25.9" customHeight="1" x14ac:dyDescent="0.3">
      <c r="A2" s="4"/>
    </row>
    <row r="3" spans="1:5" ht="18.75" customHeight="1" x14ac:dyDescent="0.3">
      <c r="A3" s="4" t="s">
        <v>222</v>
      </c>
      <c r="E3" s="12" t="str">
        <f>+'Attachment A - Undesig'!O3</f>
        <v>BPA #23-03</v>
      </c>
    </row>
    <row r="4" spans="1:5" ht="20.100000000000001" customHeight="1" x14ac:dyDescent="0.25">
      <c r="A4" s="29">
        <f>+'Attachment A - Undesig'!A4</f>
        <v>45252</v>
      </c>
    </row>
    <row r="5" spans="1:5" x14ac:dyDescent="0.25">
      <c r="B5" s="67"/>
      <c r="C5" s="67"/>
      <c r="D5" s="67"/>
      <c r="E5" s="67"/>
    </row>
    <row r="6" spans="1:5" x14ac:dyDescent="0.25">
      <c r="E6" s="31"/>
    </row>
    <row r="7" spans="1:5" ht="60.75" thickBot="1" x14ac:dyDescent="0.3">
      <c r="A7" s="8"/>
      <c r="B7" s="9" t="s">
        <v>182</v>
      </c>
      <c r="C7" s="9" t="s">
        <v>183</v>
      </c>
      <c r="D7" s="9" t="s">
        <v>184</v>
      </c>
      <c r="E7" s="32" t="s">
        <v>167</v>
      </c>
    </row>
    <row r="8" spans="1:5" ht="19.149999999999999" customHeight="1" x14ac:dyDescent="0.25">
      <c r="A8" s="22"/>
      <c r="B8" s="24"/>
      <c r="C8" s="24"/>
      <c r="D8" s="24"/>
      <c r="E8" s="33"/>
    </row>
    <row r="9" spans="1:5" ht="19.149999999999999" customHeight="1" x14ac:dyDescent="0.25">
      <c r="A9" s="2" t="s">
        <v>5</v>
      </c>
      <c r="B9" s="15">
        <v>1447</v>
      </c>
      <c r="C9" s="15"/>
      <c r="D9" s="15"/>
      <c r="E9" s="34">
        <f t="shared" ref="E9:E14" si="0">SUM(B9:D9)</f>
        <v>1447</v>
      </c>
    </row>
    <row r="10" spans="1:5" ht="19.149999999999999" customHeight="1" x14ac:dyDescent="0.25">
      <c r="A10" s="2" t="s">
        <v>6</v>
      </c>
      <c r="B10" s="15">
        <v>484637</v>
      </c>
      <c r="C10" s="15">
        <v>31642</v>
      </c>
      <c r="D10" s="15">
        <v>8550</v>
      </c>
      <c r="E10" s="34">
        <f t="shared" si="0"/>
        <v>524829</v>
      </c>
    </row>
    <row r="11" spans="1:5" ht="19.149999999999999" customHeight="1" x14ac:dyDescent="0.25">
      <c r="A11" s="2" t="s">
        <v>7</v>
      </c>
      <c r="B11" s="15"/>
      <c r="C11" s="15"/>
      <c r="D11" s="15"/>
      <c r="E11" s="34">
        <f t="shared" si="0"/>
        <v>0</v>
      </c>
    </row>
    <row r="12" spans="1:5" ht="19.149999999999999" customHeight="1" x14ac:dyDescent="0.25">
      <c r="A12" s="2" t="s">
        <v>8</v>
      </c>
      <c r="B12" s="15">
        <v>355</v>
      </c>
      <c r="C12" s="15"/>
      <c r="D12" s="15"/>
      <c r="E12" s="34">
        <f t="shared" si="0"/>
        <v>355</v>
      </c>
    </row>
    <row r="13" spans="1:5" ht="19.149999999999999" customHeight="1" x14ac:dyDescent="0.25">
      <c r="A13" s="2" t="s">
        <v>9</v>
      </c>
      <c r="B13" s="15"/>
      <c r="C13" s="15"/>
      <c r="D13" s="15"/>
      <c r="E13" s="34">
        <f t="shared" si="0"/>
        <v>0</v>
      </c>
    </row>
    <row r="14" spans="1:5" ht="19.149999999999999" customHeight="1" x14ac:dyDescent="0.25">
      <c r="A14" s="2" t="s">
        <v>10</v>
      </c>
      <c r="B14" s="15"/>
      <c r="C14" s="15"/>
      <c r="D14" s="15"/>
      <c r="E14" s="34">
        <f t="shared" si="0"/>
        <v>0</v>
      </c>
    </row>
    <row r="15" spans="1:5" ht="19.149999999999999" customHeight="1" x14ac:dyDescent="0.25">
      <c r="A15" s="17" t="s">
        <v>11</v>
      </c>
      <c r="B15" s="16">
        <f t="shared" ref="B15:E15" si="1">SUM(B9:B14)</f>
        <v>486439</v>
      </c>
      <c r="C15" s="16">
        <f>SUM(C9:C14)</f>
        <v>31642</v>
      </c>
      <c r="D15" s="16">
        <f>SUM(D9:D14)</f>
        <v>8550</v>
      </c>
      <c r="E15" s="35">
        <f t="shared" si="1"/>
        <v>526631</v>
      </c>
    </row>
    <row r="16" spans="1:5" ht="19.149999999999999" customHeight="1" x14ac:dyDescent="0.25">
      <c r="B16" s="30"/>
      <c r="C16" s="30"/>
      <c r="D16" s="30"/>
      <c r="E16" s="34"/>
    </row>
    <row r="17" spans="1:5" ht="19.149999999999999" customHeight="1" x14ac:dyDescent="0.25">
      <c r="A17" s="2" t="s">
        <v>13</v>
      </c>
      <c r="B17" s="15">
        <f>590372+1107</f>
        <v>591479</v>
      </c>
      <c r="C17" s="15"/>
      <c r="D17" s="15"/>
      <c r="E17" s="34">
        <f>SUM(B17:D17)</f>
        <v>591479</v>
      </c>
    </row>
    <row r="18" spans="1:5" ht="15" customHeight="1" thickBot="1" x14ac:dyDescent="0.3">
      <c r="A18" s="18" t="s">
        <v>14</v>
      </c>
      <c r="B18" s="19">
        <f t="shared" ref="B18:E18" si="2">SUM(B15:B17)</f>
        <v>1077918</v>
      </c>
      <c r="C18" s="19">
        <f>SUM(C15:C17)</f>
        <v>31642</v>
      </c>
      <c r="D18" s="19">
        <f>SUM(D15:D17)</f>
        <v>8550</v>
      </c>
      <c r="E18" s="36">
        <f t="shared" si="2"/>
        <v>1118110</v>
      </c>
    </row>
    <row r="19" spans="1:5" ht="15" customHeight="1" x14ac:dyDescent="0.25">
      <c r="A19" s="20"/>
      <c r="B19" s="20"/>
      <c r="C19" s="20"/>
      <c r="D19" s="20"/>
      <c r="E19" s="21"/>
    </row>
  </sheetData>
  <printOptions horizontalCentered="1"/>
  <pageMargins left="0.75" right="0.75" top="0.5" bottom="0.5" header="0.3" footer="0.3"/>
  <pageSetup orientation="landscape" r:id="rId1"/>
  <headerFooter>
    <oddFooter>&amp;L&amp;8&amp;D&amp;R&amp;8&amp;F</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125B-6534-4D98-9410-01FA5D3D87F6}">
  <sheetPr>
    <tabColor rgb="FFFFC000"/>
    <pageSetUpPr fitToPage="1"/>
  </sheetPr>
  <dimension ref="A1:E19"/>
  <sheetViews>
    <sheetView workbookViewId="0"/>
  </sheetViews>
  <sheetFormatPr defaultColWidth="8.85546875" defaultRowHeight="15" x14ac:dyDescent="0.25"/>
  <cols>
    <col min="1" max="1" width="26.28515625" style="2" customWidth="1"/>
    <col min="2" max="2" width="14" style="1" bestFit="1" customWidth="1"/>
    <col min="3" max="3" width="14.28515625" style="1" customWidth="1"/>
    <col min="4" max="4" width="14.5703125" style="1" customWidth="1"/>
    <col min="5" max="5" width="15" style="1" customWidth="1"/>
    <col min="6" max="17" width="14" style="2" customWidth="1"/>
    <col min="18" max="16384" width="8.85546875" style="2"/>
  </cols>
  <sheetData>
    <row r="1" spans="1:5" ht="25.9" customHeight="1" x14ac:dyDescent="0.3">
      <c r="A1" s="4"/>
    </row>
    <row r="2" spans="1:5" ht="25.9" customHeight="1" x14ac:dyDescent="0.3">
      <c r="A2" s="4"/>
      <c r="E2" s="12" t="str">
        <f>+'Attachment A - Undesig'!O3</f>
        <v>BPA #23-03</v>
      </c>
    </row>
    <row r="3" spans="1:5" ht="18.75" customHeight="1" x14ac:dyDescent="0.3">
      <c r="A3" s="4" t="s">
        <v>99</v>
      </c>
    </row>
    <row r="4" spans="1:5" ht="20.100000000000001" customHeight="1" x14ac:dyDescent="0.25">
      <c r="A4" s="29">
        <f>+'Attachment A - Undesig'!A4</f>
        <v>45252</v>
      </c>
    </row>
    <row r="5" spans="1:5" x14ac:dyDescent="0.25">
      <c r="B5" s="76"/>
      <c r="C5" s="76"/>
      <c r="D5" s="76"/>
      <c r="E5" s="76"/>
    </row>
    <row r="6" spans="1:5" x14ac:dyDescent="0.25">
      <c r="E6" s="31"/>
    </row>
    <row r="7" spans="1:5" ht="15.75" thickBot="1" x14ac:dyDescent="0.3">
      <c r="A7" s="8"/>
      <c r="B7" s="9"/>
      <c r="C7" s="9"/>
      <c r="D7" s="9"/>
      <c r="E7" s="32"/>
    </row>
    <row r="8" spans="1:5" ht="19.149999999999999" customHeight="1" x14ac:dyDescent="0.25">
      <c r="A8" s="22"/>
      <c r="B8" s="24"/>
      <c r="C8" s="24"/>
      <c r="D8" s="23"/>
      <c r="E8" s="33"/>
    </row>
    <row r="9" spans="1:5" ht="19.149999999999999" customHeight="1" x14ac:dyDescent="0.25">
      <c r="A9" s="2" t="s">
        <v>5</v>
      </c>
      <c r="B9" s="15"/>
      <c r="C9" s="15"/>
      <c r="D9" s="15"/>
      <c r="E9" s="34"/>
    </row>
    <row r="10" spans="1:5" ht="19.149999999999999" customHeight="1" x14ac:dyDescent="0.25">
      <c r="A10" s="2" t="s">
        <v>6</v>
      </c>
      <c r="B10" s="15"/>
      <c r="C10" s="15"/>
      <c r="D10" s="15"/>
      <c r="E10" s="34"/>
    </row>
    <row r="11" spans="1:5" ht="19.149999999999999" customHeight="1" x14ac:dyDescent="0.25">
      <c r="A11" s="2" t="s">
        <v>7</v>
      </c>
      <c r="B11" s="15"/>
      <c r="C11" s="15"/>
      <c r="D11" s="15"/>
      <c r="E11" s="34"/>
    </row>
    <row r="12" spans="1:5" ht="19.149999999999999" customHeight="1" x14ac:dyDescent="0.25">
      <c r="A12" s="2" t="s">
        <v>8</v>
      </c>
      <c r="B12" s="15"/>
      <c r="C12" s="15"/>
      <c r="D12" s="15"/>
      <c r="E12" s="34"/>
    </row>
    <row r="13" spans="1:5" ht="19.149999999999999" customHeight="1" x14ac:dyDescent="0.25">
      <c r="A13" s="2" t="s">
        <v>9</v>
      </c>
      <c r="B13" s="15"/>
      <c r="C13" s="15"/>
      <c r="D13" s="15"/>
      <c r="E13" s="34"/>
    </row>
    <row r="14" spans="1:5" ht="19.149999999999999" customHeight="1" x14ac:dyDescent="0.25">
      <c r="A14" s="2" t="s">
        <v>10</v>
      </c>
      <c r="B14" s="15"/>
      <c r="C14" s="15"/>
      <c r="D14" s="15"/>
      <c r="E14" s="34"/>
    </row>
    <row r="15" spans="1:5" ht="19.149999999999999" customHeight="1" x14ac:dyDescent="0.25">
      <c r="A15" s="17" t="s">
        <v>11</v>
      </c>
      <c r="B15" s="16">
        <f t="shared" ref="B15:E15" si="0">SUM(B9:B14)</f>
        <v>0</v>
      </c>
      <c r="C15" s="16">
        <f t="shared" si="0"/>
        <v>0</v>
      </c>
      <c r="D15" s="16">
        <f t="shared" si="0"/>
        <v>0</v>
      </c>
      <c r="E15" s="35">
        <f t="shared" si="0"/>
        <v>0</v>
      </c>
    </row>
    <row r="16" spans="1:5" ht="19.149999999999999" customHeight="1" x14ac:dyDescent="0.25">
      <c r="A16" s="2" t="s">
        <v>12</v>
      </c>
      <c r="B16" s="30"/>
      <c r="D16" s="15"/>
      <c r="E16" s="34"/>
    </row>
    <row r="17" spans="1:5" ht="19.149999999999999" customHeight="1" x14ac:dyDescent="0.25">
      <c r="A17" s="2" t="s">
        <v>13</v>
      </c>
      <c r="B17" s="15"/>
      <c r="C17" s="15"/>
      <c r="D17" s="15"/>
      <c r="E17" s="34"/>
    </row>
    <row r="18" spans="1:5" ht="15" customHeight="1" thickBot="1" x14ac:dyDescent="0.3">
      <c r="A18" s="18" t="s">
        <v>14</v>
      </c>
      <c r="B18" s="19">
        <f t="shared" ref="B18:E18" si="1">SUM(B15:B17)</f>
        <v>0</v>
      </c>
      <c r="C18" s="19">
        <f t="shared" si="1"/>
        <v>0</v>
      </c>
      <c r="D18" s="19">
        <f t="shared" si="1"/>
        <v>0</v>
      </c>
      <c r="E18" s="36">
        <f t="shared" si="1"/>
        <v>0</v>
      </c>
    </row>
    <row r="19" spans="1:5" ht="15" customHeight="1" x14ac:dyDescent="0.25">
      <c r="A19" s="20"/>
      <c r="B19" s="20"/>
      <c r="C19" s="21"/>
      <c r="D19" s="21"/>
      <c r="E19" s="21"/>
    </row>
  </sheetData>
  <mergeCells count="1">
    <mergeCell ref="B5:E5"/>
  </mergeCells>
  <printOptions horizontalCentered="1"/>
  <pageMargins left="0.75" right="0.75" top="0.5" bottom="0.5" header="0.3" footer="0.3"/>
  <pageSetup orientation="landscape" r:id="rId1"/>
  <headerFooter>
    <oddFooter>&amp;L&amp;8&amp;D&amp;R&amp;8&amp;F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be2326-318d-4a6a-b4f2-fe4330988081" xsi:nil="true"/>
    <lcf76f155ced4ddcb4097134ff3c332f xmlns="e15b9e73-c977-4054-98ab-a31a3fb0ba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F24FE98A5794489482F1EED8BB33FE" ma:contentTypeVersion="17" ma:contentTypeDescription="Create a new document." ma:contentTypeScope="" ma:versionID="b2900fe496e0c8b28ddd4c4631f93ca9">
  <xsd:schema xmlns:xsd="http://www.w3.org/2001/XMLSchema" xmlns:xs="http://www.w3.org/2001/XMLSchema" xmlns:p="http://schemas.microsoft.com/office/2006/metadata/properties" xmlns:ns2="e15b9e73-c977-4054-98ab-a31a3fb0ba9e" xmlns:ns3="8bbe2326-318d-4a6a-b4f2-fe4330988081" targetNamespace="http://schemas.microsoft.com/office/2006/metadata/properties" ma:root="true" ma:fieldsID="63df6292bc22d007172f50ec8b6bb721" ns2:_="" ns3:_="">
    <xsd:import namespace="e15b9e73-c977-4054-98ab-a31a3fb0ba9e"/>
    <xsd:import namespace="8bbe2326-318d-4a6a-b4f2-fe43309880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b9e73-c977-4054-98ab-a31a3fb0ba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a4fd07-bb52-4003-87b7-be48705374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be2326-318d-4a6a-b4f2-fe433098808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74eed02-18ea-4b50-ab8c-d324e9bdf24e}" ma:internalName="TaxCatchAll" ma:showField="CatchAllData" ma:web="8bbe2326-318d-4a6a-b4f2-fe43309880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F49517-401C-42BA-9031-46B044F7B53F}">
  <ds:schemaRefs>
    <ds:schemaRef ds:uri="http://schemas.microsoft.com/office/2006/metadata/properties"/>
    <ds:schemaRef ds:uri="http://schemas.microsoft.com/office/infopath/2007/PartnerControls"/>
    <ds:schemaRef ds:uri="8bbe2326-318d-4a6a-b4f2-fe4330988081"/>
    <ds:schemaRef ds:uri="e15b9e73-c977-4054-98ab-a31a3fb0ba9e"/>
  </ds:schemaRefs>
</ds:datastoreItem>
</file>

<file path=customXml/itemProps2.xml><?xml version="1.0" encoding="utf-8"?>
<ds:datastoreItem xmlns:ds="http://schemas.openxmlformats.org/officeDocument/2006/customXml" ds:itemID="{77869687-58FF-41F3-A882-1378BB9AA695}">
  <ds:schemaRefs>
    <ds:schemaRef ds:uri="http://schemas.microsoft.com/sharepoint/v3/contenttype/forms"/>
  </ds:schemaRefs>
</ds:datastoreItem>
</file>

<file path=customXml/itemProps3.xml><?xml version="1.0" encoding="utf-8"?>
<ds:datastoreItem xmlns:ds="http://schemas.openxmlformats.org/officeDocument/2006/customXml" ds:itemID="{AAA9C773-85CE-4E79-A8E1-1FB1A1A9B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5b9e73-c977-4054-98ab-a31a3fb0ba9e"/>
    <ds:schemaRef ds:uri="8bbe2326-318d-4a6a-b4f2-fe43309880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Attachment A - Undesig</vt:lpstr>
      <vt:lpstr>Attachment B - Desig</vt:lpstr>
      <vt:lpstr>Attachment C - Fees</vt:lpstr>
      <vt:lpstr>Attachment D - PCR</vt:lpstr>
      <vt:lpstr>Attachment E - Lottery</vt:lpstr>
      <vt:lpstr>Attachment F - Financial Aid</vt:lpstr>
      <vt:lpstr>'Attachment A - Undesig'!Print_Area</vt:lpstr>
      <vt:lpstr>'Attachment B - Desig'!Print_Area</vt:lpstr>
      <vt:lpstr>'Attachment C - Fees'!Print_Area</vt:lpstr>
      <vt:lpstr>'Attachment D - PCR'!Print_Area</vt:lpstr>
      <vt:lpstr>'Attachment E - Lottery'!Print_Area</vt:lpstr>
      <vt:lpstr>'Attachment F - Financial Aid'!Print_Area</vt:lpstr>
      <vt:lpstr>'Attachment B - Desig'!Print_Titles</vt:lpstr>
      <vt:lpstr>'Attachment C - Fees'!Print_Titles</vt:lpstr>
      <vt:lpstr>'Attachment D - PCR'!Print_Titles</vt:lpstr>
    </vt:vector>
  </TitlesOfParts>
  <Manager/>
  <Company>Cal Poly Pomona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Lee</dc:creator>
  <cp:keywords/>
  <dc:description/>
  <cp:lastModifiedBy>Sebastian Velasquez</cp:lastModifiedBy>
  <cp:revision/>
  <cp:lastPrinted>2023-11-23T00:28:58Z</cp:lastPrinted>
  <dcterms:created xsi:type="dcterms:W3CDTF">2023-04-10T21:39:14Z</dcterms:created>
  <dcterms:modified xsi:type="dcterms:W3CDTF">2025-11-20T19:30:52Z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0x010100FEF24FE98A5794489482F1EED8BB33FE</vt:lpwstr>
  </property>
  <property fmtid="{D5CDD505-2E9C-101B-9397-08002B2CF9AE}" pid="3" name="MediaServiceImageTags">
    <vt:lpwstr/>
  </property>
</Properties>
</file>