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pivotTables/pivotTable1.xml" ContentType="application/vnd.openxmlformats-officedocument.spreadsheetml.pivotTab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tfsaa.ad.cpp.edu\departments\budget\Sebastian\Accessible Documents\FY2024-25\"/>
    </mc:Choice>
  </mc:AlternateContent>
  <xr:revisionPtr revIDLastSave="0" documentId="14_{285D72B7-C9FC-4794-A9E2-3750546AFD36}" xr6:coauthVersionLast="47" xr6:coauthVersionMax="47" xr10:uidLastSave="{00000000-0000-0000-0000-000000000000}"/>
  <bookViews>
    <workbookView xWindow="-28920" yWindow="-120" windowWidth="29040" windowHeight="15720" tabRatio="879" firstSheet="6" activeTab="6" xr2:uid="{1A4AC8FF-FE2C-4737-92D7-BF1B18F08AD1}"/>
  </bookViews>
  <sheets>
    <sheet name="Attachment A - Base" sheetId="14" r:id="rId1"/>
    <sheet name="Attachment B - Desig Base" sheetId="16" r:id="rId2"/>
    <sheet name="Attachment C - Fees Base" sheetId="17" r:id="rId3"/>
    <sheet name="Attachment D - One-Time" sheetId="18" r:id="rId4"/>
    <sheet name="Attachment E - Desig One-Time" sheetId="24" r:id="rId5"/>
    <sheet name="Attachment F - Fees One-Time" sheetId="21" r:id="rId6"/>
    <sheet name="Attachment G - Compensation" sheetId="25" r:id="rId7"/>
    <sheet name="Attachment H - Financial Aid" sheetId="26" r:id="rId8"/>
    <sheet name="Attachment I - Lottery Base" sheetId="22" r:id="rId9"/>
    <sheet name="Attachment J - Lottery CFWD" sheetId="23" r:id="rId10"/>
    <sheet name="Attachment K - PCR" sheetId="29" r:id="rId11"/>
    <sheet name="Attachment L - PCR CFWD" sheetId="27" r:id="rId12"/>
    <sheet name="OFFICE USE ONLY" sheetId="19" r:id="rId13"/>
    <sheet name="Attachment F - Financial Aid" sheetId="6" state="hidden" r:id="rId14"/>
  </sheets>
  <definedNames>
    <definedName name="LineDesc">#REF!</definedName>
    <definedName name="_xlnm.Print_Area" localSheetId="0">'Attachment A - Base'!$A$1:$J$32</definedName>
    <definedName name="_xlnm.Print_Area" localSheetId="1">'Attachment B - Desig Base'!$A$1:$F$39</definedName>
    <definedName name="_xlnm.Print_Area" localSheetId="2">'Attachment C - Fees Base'!$A$1:$I$136</definedName>
    <definedName name="_xlnm.Print_Area" localSheetId="3">'Attachment D - One-Time'!$A$1:$L$33</definedName>
    <definedName name="_xlnm.Print_Area" localSheetId="4">'Attachment E - Desig One-Time'!$A$1:$L$72</definedName>
    <definedName name="_xlnm.Print_Area" localSheetId="5">'Attachment F - Fees One-Time'!$A$1:$J$103</definedName>
    <definedName name="_xlnm.Print_Area" localSheetId="13">'Attachment F - Financial Aid'!$A$1:$E$19</definedName>
    <definedName name="_xlnm.Print_Area" localSheetId="6">'Attachment G - Compensation'!$A$1:$Q$42</definedName>
    <definedName name="_xlnm.Print_Area" localSheetId="7">'Attachment H - Financial Aid'!$A$1:$G$32</definedName>
    <definedName name="_xlnm.Print_Area" localSheetId="8">'Attachment I - Lottery Base'!$A$1:$G$27</definedName>
    <definedName name="_xlnm.Print_Area" localSheetId="9">'Attachment J - Lottery CFWD'!$A$1:$E$22</definedName>
    <definedName name="_xlnm.Print_Area" localSheetId="10">'Attachment K - PCR'!$A$1:$K$104</definedName>
    <definedName name="_xlnm.Print_Area" localSheetId="11">'Attachment L - PCR CFWD'!$A$1:$K$22</definedName>
    <definedName name="_xlnm.Print_Titles" localSheetId="1">'Attachment B - Desig Base'!$1:$4</definedName>
    <definedName name="_xlnm.Print_Titles" localSheetId="2">'Attachment C - Fees Base'!$1:$4</definedName>
    <definedName name="_xlnm.Print_Titles" localSheetId="4">'Attachment E - Desig One-Time'!$1:$4</definedName>
    <definedName name="_xlnm.Print_Titles" localSheetId="5">'Attachment F - Fees One-Time'!$1:$4</definedName>
    <definedName name="_xlnm.Print_Titles" localSheetId="7">'Attachment H - Financial Aid'!$1:$4</definedName>
    <definedName name="_xlnm.Print_Titles" localSheetId="10">'Attachment K - PCR'!$1:$4</definedName>
    <definedName name="_xlnm.Print_Titles" localSheetId="11">'Attachment L - PCR CFWD'!$1:$4</definedName>
    <definedName name="Scenario">#REF!</definedName>
  </definedNames>
  <calcPr calcId="191028"/>
  <pivotCaches>
    <pivotCache cacheId="0" r:id="rId1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8" l="1"/>
  <c r="D18" i="14"/>
  <c r="D10" i="14"/>
  <c r="B10" i="29" l="1"/>
  <c r="C10" i="29"/>
  <c r="D10" i="29"/>
  <c r="B11" i="29"/>
  <c r="C11" i="29"/>
  <c r="E11" i="29"/>
  <c r="B12" i="29"/>
  <c r="C12" i="29"/>
  <c r="B13" i="29"/>
  <c r="D13" i="29"/>
  <c r="B14" i="29"/>
  <c r="C14" i="29"/>
  <c r="C9" i="29"/>
  <c r="B9" i="29"/>
  <c r="E68" i="29"/>
  <c r="E60" i="29"/>
  <c r="E53" i="29"/>
  <c r="E39" i="29"/>
  <c r="E37" i="29"/>
  <c r="E35" i="29"/>
  <c r="H121" i="29"/>
  <c r="D14" i="14" l="1"/>
  <c r="D17" i="18"/>
  <c r="D15" i="18"/>
  <c r="G15" i="18" s="1"/>
  <c r="D14" i="18"/>
  <c r="G14" i="18" s="1"/>
  <c r="D13" i="18"/>
  <c r="G13" i="18" s="1"/>
  <c r="D11" i="18"/>
  <c r="G11" i="18" s="1"/>
  <c r="G25" i="26" l="1"/>
  <c r="F28" i="26"/>
  <c r="F26" i="26"/>
  <c r="F22" i="26"/>
  <c r="F16" i="26"/>
  <c r="I15" i="27"/>
  <c r="I18" i="27" s="1"/>
  <c r="I17" i="21" l="1"/>
  <c r="B10" i="21"/>
  <c r="B17" i="27"/>
  <c r="B9" i="27"/>
  <c r="C42" i="17"/>
  <c r="B18" i="18"/>
  <c r="E26" i="26"/>
  <c r="D26" i="26"/>
  <c r="C26" i="26"/>
  <c r="B26" i="26"/>
  <c r="G26" i="26"/>
  <c r="B22" i="17"/>
  <c r="E104" i="29" l="1"/>
  <c r="B18" i="14"/>
  <c r="B17" i="14"/>
  <c r="D21" i="26"/>
  <c r="G21" i="26" s="1"/>
  <c r="D20" i="26"/>
  <c r="G20" i="26" s="1"/>
  <c r="D19" i="26"/>
  <c r="G19" i="26" s="1"/>
  <c r="D15" i="26"/>
  <c r="G15" i="26" s="1"/>
  <c r="D14" i="26"/>
  <c r="D13" i="26"/>
  <c r="D12" i="26"/>
  <c r="G12" i="26" s="1"/>
  <c r="D11" i="26"/>
  <c r="G11" i="26" s="1"/>
  <c r="D10" i="26"/>
  <c r="G10" i="26" s="1"/>
  <c r="E13" i="26"/>
  <c r="E14" i="26"/>
  <c r="E15" i="29"/>
  <c r="E18" i="29" s="1"/>
  <c r="G14" i="26" l="1"/>
  <c r="G13" i="26"/>
  <c r="I18" i="29"/>
  <c r="K17" i="29"/>
  <c r="K16" i="29"/>
  <c r="J15" i="29"/>
  <c r="J18" i="29" s="1"/>
  <c r="H15" i="29"/>
  <c r="H18" i="29" s="1"/>
  <c r="G15" i="29"/>
  <c r="G18" i="29" s="1"/>
  <c r="F15" i="29"/>
  <c r="F18" i="29" s="1"/>
  <c r="D15" i="29"/>
  <c r="D18" i="29" s="1"/>
  <c r="C15" i="29"/>
  <c r="C18" i="29" s="1"/>
  <c r="B15" i="29"/>
  <c r="B18" i="29" s="1"/>
  <c r="K14" i="29"/>
  <c r="K13" i="29"/>
  <c r="K12" i="29"/>
  <c r="K11" i="29"/>
  <c r="K10" i="29"/>
  <c r="K9" i="29"/>
  <c r="A4" i="29"/>
  <c r="K3" i="29"/>
  <c r="K15" i="29" l="1"/>
  <c r="K18" i="29" s="1"/>
  <c r="E105" i="29" s="1"/>
  <c r="E106" i="29" s="1"/>
  <c r="K3" i="27" l="1"/>
  <c r="A4" i="27"/>
  <c r="H18" i="27"/>
  <c r="K17" i="27"/>
  <c r="K16" i="27"/>
  <c r="J15" i="27"/>
  <c r="J18" i="27" s="1"/>
  <c r="G15" i="27"/>
  <c r="G18" i="27" s="1"/>
  <c r="F15" i="27"/>
  <c r="F18" i="27" s="1"/>
  <c r="E15" i="27"/>
  <c r="E18" i="27" s="1"/>
  <c r="D15" i="27"/>
  <c r="D18" i="27" s="1"/>
  <c r="C15" i="27"/>
  <c r="C18" i="27" s="1"/>
  <c r="B15" i="27"/>
  <c r="B18" i="27" s="1"/>
  <c r="K14" i="27"/>
  <c r="K13" i="27"/>
  <c r="K12" i="27"/>
  <c r="K11" i="27"/>
  <c r="K10" i="27"/>
  <c r="K9" i="27"/>
  <c r="K15" i="27" l="1"/>
  <c r="K18" i="27" s="1"/>
  <c r="H17" i="18" l="1"/>
  <c r="H18" i="18"/>
  <c r="E22" i="26"/>
  <c r="C22" i="26"/>
  <c r="B22" i="26"/>
  <c r="E16" i="26" l="1"/>
  <c r="E28" i="26" s="1"/>
  <c r="B16" i="26"/>
  <c r="B28" i="26" s="1"/>
  <c r="A4" i="26"/>
  <c r="G3" i="26"/>
  <c r="C16" i="26" l="1"/>
  <c r="C28" i="26" s="1"/>
  <c r="C18" i="18"/>
  <c r="D18" i="18" s="1"/>
  <c r="G22" i="26" l="1"/>
  <c r="D22" i="26"/>
  <c r="J17" i="21"/>
  <c r="K18" i="18" s="1"/>
  <c r="J16" i="21"/>
  <c r="K17" i="18" s="1"/>
  <c r="J14" i="21"/>
  <c r="K15" i="18" s="1"/>
  <c r="J13" i="21"/>
  <c r="K14" i="18" s="1"/>
  <c r="J12" i="21"/>
  <c r="K13" i="18" s="1"/>
  <c r="J11" i="21"/>
  <c r="K12" i="18" s="1"/>
  <c r="J10" i="21"/>
  <c r="K11" i="18" s="1"/>
  <c r="J9" i="21"/>
  <c r="K10" i="18" s="1"/>
  <c r="D16" i="26" l="1"/>
  <c r="D28" i="26" s="1"/>
  <c r="C10" i="18"/>
  <c r="M22" i="25"/>
  <c r="L22" i="25"/>
  <c r="G16" i="26" l="1"/>
  <c r="G28" i="26" s="1"/>
  <c r="F13" i="24"/>
  <c r="C11" i="24"/>
  <c r="F55" i="24"/>
  <c r="I13" i="24" l="1"/>
  <c r="H69" i="24"/>
  <c r="I18" i="18"/>
  <c r="J18" i="18" s="1"/>
  <c r="I17" i="18"/>
  <c r="J17" i="18" s="1"/>
  <c r="I15" i="18"/>
  <c r="I14" i="18"/>
  <c r="I13" i="18"/>
  <c r="I12" i="18"/>
  <c r="I11" i="18"/>
  <c r="I10" i="18"/>
  <c r="I16" i="24"/>
  <c r="I14" i="24"/>
  <c r="H15" i="18" s="1"/>
  <c r="I12" i="24"/>
  <c r="H13" i="18" s="1"/>
  <c r="I11" i="24"/>
  <c r="H12" i="18" s="1"/>
  <c r="I10" i="24"/>
  <c r="H11" i="18" s="1"/>
  <c r="H15" i="24"/>
  <c r="H18" i="24" s="1"/>
  <c r="G17" i="18"/>
  <c r="D10" i="18"/>
  <c r="G10" i="18" s="1"/>
  <c r="J15" i="18" l="1"/>
  <c r="J12" i="18"/>
  <c r="J11" i="18"/>
  <c r="J13" i="18"/>
  <c r="K16" i="24"/>
  <c r="I16" i="18"/>
  <c r="I19" i="18" s="1"/>
  <c r="K12" i="24"/>
  <c r="K10" i="24"/>
  <c r="K14" i="24"/>
  <c r="H14" i="18"/>
  <c r="J14" i="18" s="1"/>
  <c r="K13" i="24"/>
  <c r="K11" i="24"/>
  <c r="I17" i="25"/>
  <c r="I16" i="25"/>
  <c r="I15" i="25"/>
  <c r="I14" i="25"/>
  <c r="I13" i="25"/>
  <c r="I12" i="25"/>
  <c r="C103" i="21" l="1"/>
  <c r="C101" i="21"/>
  <c r="C99" i="21"/>
  <c r="C97" i="21"/>
  <c r="C78" i="21"/>
  <c r="C15" i="21"/>
  <c r="C18" i="21" s="1"/>
  <c r="B15" i="21"/>
  <c r="B18" i="21" s="1"/>
  <c r="Q4" i="25" l="1"/>
  <c r="B6" i="25"/>
  <c r="P18" i="25"/>
  <c r="M30" i="25"/>
  <c r="L30" i="25"/>
  <c r="M29" i="25"/>
  <c r="L29" i="25"/>
  <c r="M28" i="25"/>
  <c r="L28" i="25"/>
  <c r="M27" i="25"/>
  <c r="L27" i="25"/>
  <c r="M26" i="25"/>
  <c r="L26" i="25"/>
  <c r="M25" i="25"/>
  <c r="M17" i="25"/>
  <c r="Q17" i="25" s="1"/>
  <c r="L17" i="25"/>
  <c r="L15" i="25"/>
  <c r="L14" i="25"/>
  <c r="E13" i="25"/>
  <c r="M12" i="25"/>
  <c r="Q12" i="25" s="1"/>
  <c r="L12" i="25"/>
  <c r="N17" i="25" l="1"/>
  <c r="N30" i="25"/>
  <c r="E16" i="25"/>
  <c r="N28" i="25"/>
  <c r="N29" i="25"/>
  <c r="G18" i="25"/>
  <c r="L13" i="25"/>
  <c r="M14" i="25"/>
  <c r="M15" i="25"/>
  <c r="H18" i="25"/>
  <c r="M13" i="25"/>
  <c r="L16" i="25"/>
  <c r="L18" i="25" s="1"/>
  <c r="D18" i="25"/>
  <c r="N26" i="25"/>
  <c r="C31" i="25"/>
  <c r="L20" i="25" s="1"/>
  <c r="M16" i="25"/>
  <c r="Q16" i="25" s="1"/>
  <c r="N27" i="25"/>
  <c r="M31" i="25"/>
  <c r="E15" i="25"/>
  <c r="E12" i="25"/>
  <c r="E25" i="25"/>
  <c r="E29" i="25"/>
  <c r="E14" i="25"/>
  <c r="E26" i="25"/>
  <c r="E28" i="25"/>
  <c r="E30" i="25"/>
  <c r="D31" i="25"/>
  <c r="M20" i="25" s="1"/>
  <c r="L25" i="25"/>
  <c r="C18" i="25"/>
  <c r="E27" i="25"/>
  <c r="E17" i="25"/>
  <c r="N13" i="25" l="1"/>
  <c r="Q13" i="25"/>
  <c r="N14" i="25"/>
  <c r="Q14" i="25"/>
  <c r="N15" i="25"/>
  <c r="Q15" i="25"/>
  <c r="N16" i="25"/>
  <c r="I18" i="25"/>
  <c r="E31" i="25"/>
  <c r="M18" i="25"/>
  <c r="M21" i="25" s="1"/>
  <c r="N20" i="25"/>
  <c r="N12" i="25"/>
  <c r="L21" i="25"/>
  <c r="E18" i="25"/>
  <c r="N25" i="25"/>
  <c r="N31" i="25" s="1"/>
  <c r="L31" i="25"/>
  <c r="Q18" i="25" l="1"/>
  <c r="N18" i="25"/>
  <c r="N21" i="25" s="1"/>
  <c r="N33" i="25" s="1"/>
  <c r="C50" i="24" l="1"/>
  <c r="G9" i="24"/>
  <c r="I9" i="24" s="1"/>
  <c r="K9" i="24" s="1"/>
  <c r="B64" i="24"/>
  <c r="I48" i="24"/>
  <c r="C49" i="24"/>
  <c r="J15" i="24"/>
  <c r="J18" i="24" s="1"/>
  <c r="F15" i="24"/>
  <c r="F18" i="24" s="1"/>
  <c r="D69" i="24"/>
  <c r="G69" i="24"/>
  <c r="I17" i="24" l="1"/>
  <c r="K17" i="24" s="1"/>
  <c r="I15" i="24"/>
  <c r="H10" i="18"/>
  <c r="J10" i="18" s="1"/>
  <c r="K3" i="24"/>
  <c r="A4" i="24"/>
  <c r="J38" i="24"/>
  <c r="J68" i="24"/>
  <c r="J67" i="24"/>
  <c r="J66" i="24"/>
  <c r="J65" i="24"/>
  <c r="J64" i="24"/>
  <c r="J63" i="24"/>
  <c r="J62" i="24"/>
  <c r="J61" i="24"/>
  <c r="J60" i="24"/>
  <c r="J59" i="24"/>
  <c r="J58" i="24"/>
  <c r="J57" i="24"/>
  <c r="J56" i="24"/>
  <c r="J55" i="24"/>
  <c r="J54" i="24"/>
  <c r="J53" i="24"/>
  <c r="J52" i="24"/>
  <c r="J51" i="24"/>
  <c r="J50" i="24"/>
  <c r="J49" i="24"/>
  <c r="J48" i="24"/>
  <c r="J47" i="24"/>
  <c r="J46" i="24"/>
  <c r="J45" i="24"/>
  <c r="J44" i="24"/>
  <c r="J43" i="24"/>
  <c r="J42" i="24"/>
  <c r="J41" i="24"/>
  <c r="J40" i="24"/>
  <c r="J39" i="24"/>
  <c r="J37" i="24"/>
  <c r="J36" i="24"/>
  <c r="I69" i="24"/>
  <c r="E69" i="24"/>
  <c r="C69" i="24"/>
  <c r="B69" i="24"/>
  <c r="F69" i="24"/>
  <c r="J35" i="24"/>
  <c r="E15" i="24"/>
  <c r="E18" i="24" s="1"/>
  <c r="D15" i="24"/>
  <c r="D18" i="24" s="1"/>
  <c r="C15" i="24"/>
  <c r="C18" i="24" s="1"/>
  <c r="B15" i="24"/>
  <c r="B18" i="24" s="1"/>
  <c r="I18" i="24" l="1"/>
  <c r="K15" i="24"/>
  <c r="K18" i="24" s="1"/>
  <c r="J69" i="24"/>
  <c r="G15" i="24"/>
  <c r="G18" i="24" s="1"/>
  <c r="E16" i="23" l="1"/>
  <c r="D17" i="23"/>
  <c r="D18" i="23" s="1"/>
  <c r="D15" i="23"/>
  <c r="C15" i="23"/>
  <c r="C18" i="23" s="1"/>
  <c r="E3" i="23" l="1"/>
  <c r="A4" i="23"/>
  <c r="E17" i="23"/>
  <c r="B15" i="23"/>
  <c r="B18" i="23" s="1"/>
  <c r="E14" i="23"/>
  <c r="E13" i="23"/>
  <c r="E12" i="23"/>
  <c r="E11" i="23"/>
  <c r="E10" i="23"/>
  <c r="E9" i="23"/>
  <c r="E15" i="23" l="1"/>
  <c r="E18" i="23" s="1"/>
  <c r="D3" i="22" l="1"/>
  <c r="A4" i="22"/>
  <c r="D17" i="22"/>
  <c r="B15" i="22"/>
  <c r="B18" i="22" s="1"/>
  <c r="D14" i="22"/>
  <c r="D13" i="22"/>
  <c r="D12" i="22"/>
  <c r="C15" i="22"/>
  <c r="C18" i="22" s="1"/>
  <c r="D11" i="22"/>
  <c r="D10" i="22"/>
  <c r="D9" i="22"/>
  <c r="D15" i="22" l="1"/>
  <c r="D18" i="22" s="1"/>
  <c r="J3" i="21" l="1"/>
  <c r="A4" i="18"/>
  <c r="A4" i="21"/>
  <c r="I15" i="21"/>
  <c r="I18" i="21" s="1"/>
  <c r="E15" i="21"/>
  <c r="E18" i="21" s="1"/>
  <c r="H15" i="21"/>
  <c r="H18" i="21" s="1"/>
  <c r="G15" i="21"/>
  <c r="F15" i="21"/>
  <c r="F18" i="21" s="1"/>
  <c r="D15" i="21"/>
  <c r="D18" i="21" s="1"/>
  <c r="G18" i="21" l="1"/>
  <c r="J15" i="21"/>
  <c r="J18" i="21" s="1"/>
  <c r="B12" i="18" l="1"/>
  <c r="D12" i="18" s="1"/>
  <c r="G12" i="18" s="1"/>
  <c r="C18" i="14"/>
  <c r="G18" i="18" l="1"/>
  <c r="D16" i="18"/>
  <c r="F17" i="14"/>
  <c r="F15" i="14"/>
  <c r="F14" i="14"/>
  <c r="F13" i="14"/>
  <c r="F12" i="14"/>
  <c r="F11" i="14"/>
  <c r="F10" i="14"/>
  <c r="G18" i="14"/>
  <c r="G17" i="14"/>
  <c r="G15" i="14"/>
  <c r="G13" i="14"/>
  <c r="G12" i="14"/>
  <c r="G11" i="14"/>
  <c r="G10" i="14"/>
  <c r="E32" i="16"/>
  <c r="C13" i="16"/>
  <c r="C15" i="16" s="1"/>
  <c r="C18" i="16" s="1"/>
  <c r="B17" i="16"/>
  <c r="F18" i="14" s="1"/>
  <c r="C24" i="17"/>
  <c r="D19" i="18" l="1"/>
  <c r="G14" i="14"/>
  <c r="B132" i="17"/>
  <c r="C16" i="14" l="1"/>
  <c r="C19" i="14" s="1"/>
  <c r="L3" i="18" l="1"/>
  <c r="K16" i="18"/>
  <c r="K19" i="18" s="1"/>
  <c r="H16" i="18"/>
  <c r="H19" i="18" s="1"/>
  <c r="F16" i="18"/>
  <c r="F19" i="18" s="1"/>
  <c r="E16" i="18"/>
  <c r="E19" i="18" s="1"/>
  <c r="B16" i="18"/>
  <c r="B19" i="18" s="1"/>
  <c r="L18" i="18" l="1"/>
  <c r="L17" i="18"/>
  <c r="L11" i="18"/>
  <c r="L12" i="18"/>
  <c r="L14" i="18"/>
  <c r="J16" i="18"/>
  <c r="J19" i="18" s="1"/>
  <c r="L15" i="18"/>
  <c r="G16" i="18"/>
  <c r="G19" i="18" s="1"/>
  <c r="L13" i="18"/>
  <c r="C16" i="18"/>
  <c r="C19" i="18" s="1"/>
  <c r="L10" i="18"/>
  <c r="L16" i="18" l="1"/>
  <c r="L19" i="18" s="1"/>
  <c r="C133" i="17"/>
  <c r="H13" i="17" s="1"/>
  <c r="C136" i="17"/>
  <c r="H14" i="17" s="1"/>
  <c r="C130" i="17"/>
  <c r="H11" i="17" s="1"/>
  <c r="C127" i="17"/>
  <c r="H10" i="17" s="1"/>
  <c r="A4" i="17"/>
  <c r="A4" i="16"/>
  <c r="C109" i="17"/>
  <c r="G10" i="17" s="1"/>
  <c r="C47" i="17" l="1"/>
  <c r="F13" i="17" s="1"/>
  <c r="C38" i="17"/>
  <c r="D13" i="17" s="1"/>
  <c r="C34" i="17"/>
  <c r="D12" i="17" s="1"/>
  <c r="C30" i="17"/>
  <c r="D10" i="17" s="1"/>
  <c r="I3" i="17" l="1"/>
  <c r="I13" i="17"/>
  <c r="I14" i="14" s="1"/>
  <c r="I12" i="17"/>
  <c r="I13" i="14" s="1"/>
  <c r="D15" i="17"/>
  <c r="D18" i="17" s="1"/>
  <c r="C15" i="17"/>
  <c r="C18" i="17" s="1"/>
  <c r="I17" i="17"/>
  <c r="I18" i="14" s="1"/>
  <c r="I16" i="17"/>
  <c r="I17" i="14" s="1"/>
  <c r="H15" i="17"/>
  <c r="H18" i="17" s="1"/>
  <c r="G15" i="17"/>
  <c r="G18" i="17" s="1"/>
  <c r="E15" i="17"/>
  <c r="E18" i="17" s="1"/>
  <c r="I14" i="17"/>
  <c r="I15" i="14" s="1"/>
  <c r="F15" i="17"/>
  <c r="F18" i="17" s="1"/>
  <c r="I11" i="17"/>
  <c r="I12" i="14" s="1"/>
  <c r="I9" i="17"/>
  <c r="I10" i="14" s="1"/>
  <c r="I10" i="17" l="1"/>
  <c r="B15" i="17"/>
  <c r="B18" i="17" s="1"/>
  <c r="I15" i="17" l="1"/>
  <c r="I18" i="17" s="1"/>
  <c r="I11" i="14"/>
  <c r="E35" i="16"/>
  <c r="F33" i="16"/>
  <c r="F3" i="16" l="1"/>
  <c r="D39" i="16"/>
  <c r="B39" i="16"/>
  <c r="E37" i="16"/>
  <c r="F36" i="16"/>
  <c r="C35" i="16"/>
  <c r="C34" i="16"/>
  <c r="F34" i="16" s="1"/>
  <c r="F32" i="16"/>
  <c r="F31" i="16"/>
  <c r="F30" i="16"/>
  <c r="F29" i="16"/>
  <c r="D17" i="16"/>
  <c r="D16" i="16"/>
  <c r="B15" i="16"/>
  <c r="B18" i="16" s="1"/>
  <c r="D14" i="16"/>
  <c r="D13" i="16"/>
  <c r="D12" i="16"/>
  <c r="D11" i="16"/>
  <c r="D10" i="16"/>
  <c r="D9" i="16"/>
  <c r="F35" i="16" l="1"/>
  <c r="E39" i="16"/>
  <c r="F37" i="16"/>
  <c r="D15" i="16"/>
  <c r="D18" i="16" s="1"/>
  <c r="C39" i="16"/>
  <c r="F39" i="16" l="1"/>
  <c r="H18" i="14" l="1"/>
  <c r="H17" i="14"/>
  <c r="H15" i="14"/>
  <c r="H14" i="14"/>
  <c r="H13" i="14"/>
  <c r="H12" i="14"/>
  <c r="H11" i="14"/>
  <c r="H10" i="14"/>
  <c r="G16" i="14"/>
  <c r="G19" i="14" s="1"/>
  <c r="I16" i="14"/>
  <c r="I19" i="14" s="1"/>
  <c r="F16" i="14"/>
  <c r="F19" i="14" s="1"/>
  <c r="H16" i="14" l="1"/>
  <c r="H19" i="14" s="1"/>
  <c r="D16" i="14" l="1"/>
  <c r="D19" i="14" s="1"/>
  <c r="E17" i="14"/>
  <c r="J17" i="14" s="1"/>
  <c r="E15" i="14" l="1"/>
  <c r="J15" i="14" s="1"/>
  <c r="E14" i="14"/>
  <c r="J14" i="14" s="1"/>
  <c r="E13" i="14"/>
  <c r="J13" i="14" s="1"/>
  <c r="E12" i="14"/>
  <c r="J12" i="14" s="1"/>
  <c r="E11" i="14"/>
  <c r="J11" i="14" s="1"/>
  <c r="B16" i="14"/>
  <c r="B19" i="14" s="1"/>
  <c r="E18" i="14" l="1"/>
  <c r="J18" i="14" s="1"/>
  <c r="E10" i="14"/>
  <c r="J10" i="14" s="1"/>
  <c r="J16" i="14" s="1"/>
  <c r="J19" i="14" l="1"/>
  <c r="E16" i="14"/>
  <c r="E19" i="14" s="1"/>
  <c r="D15" i="6" l="1"/>
  <c r="D18" i="6" s="1"/>
  <c r="C15" i="6"/>
  <c r="C18" i="6" s="1"/>
  <c r="B15" i="6"/>
  <c r="B18" i="6" s="1"/>
  <c r="E15" i="6"/>
  <c r="E18" i="6" s="1"/>
  <c r="A4" i="6"/>
  <c r="E2" i="6"/>
</calcChain>
</file>

<file path=xl/sharedStrings.xml><?xml version="1.0" encoding="utf-8"?>
<sst xmlns="http://schemas.openxmlformats.org/spreadsheetml/2006/main" count="989" uniqueCount="462">
  <si>
    <t xml:space="preserve">Attachment A: FY24-25 General Fund Base Budget Allocation </t>
  </si>
  <si>
    <t>BPA #24-01R</t>
  </si>
  <si>
    <t>Undesignated</t>
  </si>
  <si>
    <t>Designated</t>
  </si>
  <si>
    <t>Fees</t>
  </si>
  <si>
    <t>Grand</t>
  </si>
  <si>
    <t>2024-25</t>
  </si>
  <si>
    <t>Total</t>
  </si>
  <si>
    <t>(4)</t>
  </si>
  <si>
    <t>(5)</t>
  </si>
  <si>
    <t>23-24 Base
Allocation</t>
  </si>
  <si>
    <t>23-24 Base Adjustment</t>
  </si>
  <si>
    <t>24-25 Base Adjustments</t>
  </si>
  <si>
    <t xml:space="preserve">
Base Undesignated
Allocation</t>
  </si>
  <si>
    <t>Base
Designated</t>
  </si>
  <si>
    <t>Other Adjustments</t>
  </si>
  <si>
    <t>Base
Designated
Allocation</t>
  </si>
  <si>
    <t>Base Fee
Allocation</t>
  </si>
  <si>
    <t>Attachment B</t>
  </si>
  <si>
    <t>Attachment C</t>
  </si>
  <si>
    <t>Office of the President</t>
  </si>
  <si>
    <t>Academic Affairs</t>
  </si>
  <si>
    <t>Administrative Affairs</t>
  </si>
  <si>
    <t>IT&amp;IP</t>
  </si>
  <si>
    <t>Student Affairs</t>
  </si>
  <si>
    <t>University Advancement</t>
  </si>
  <si>
    <t>Division Total</t>
  </si>
  <si>
    <t>University Level Financial Aid</t>
  </si>
  <si>
    <t>University Level</t>
  </si>
  <si>
    <t>CPP Campus Total</t>
  </si>
  <si>
    <t>(1) FY23-24 Undesignated base budget according to allocation memo #23-08.</t>
  </si>
  <si>
    <r>
      <t xml:space="preserve">   University Level Financial Aid contains $38,847,000 SUG, $832,210 State EOP Grant Program, $30,199 State Graduate Fellowship</t>
    </r>
    <r>
      <rPr>
        <b/>
        <sz val="11"/>
        <color theme="1"/>
        <rFont val="Calibri"/>
        <family val="2"/>
        <scheme val="minor"/>
      </rPr>
      <t>.</t>
    </r>
  </si>
  <si>
    <t>(2) Transfer centrally managed utilities-related activities from 72400 to 96100, $500,000.</t>
  </si>
  <si>
    <t>(3) Transfer funding for position# 4751 from Student Affairs ($93,924) to Admin Affairs $89,448; Admin Affairs received $4,476 GSI in FY23-24 already.</t>
  </si>
  <si>
    <t xml:space="preserve">   Transfer funding for position #1193 from Academic Affairs to Student Affairs, $51,228.</t>
  </si>
  <si>
    <t xml:space="preserve">   Transfer $179,850 base from OoP 73720 to UA 74310 ($98,441 from #4849-73720 to #5884-74310 and $81,409 from #2033-73720 to #5883-74310.)</t>
  </si>
  <si>
    <t xml:space="preserve">   FY24-25 SUG Adjustment: Redistribution of ($1,942,000), new increase of $2,668,000, netting to an increase of $726,000; new SUG base allocation is $39,573,000, offset by a one-time </t>
  </si>
  <si>
    <t xml:space="preserve">   reduction of ($1,434,054). See Attachment H for more details.</t>
  </si>
  <si>
    <t xml:space="preserve">   Title IX $400,000 and CalNAGPRA $150,000 funded centrally.</t>
  </si>
  <si>
    <t>(4) FY23-24 Designated base budget according to allocation memo #23-08.</t>
  </si>
  <si>
    <t>(5) Project Rebound adjustment ($89,000) plus allocation for students with disability accomodation $58,000.</t>
  </si>
  <si>
    <t>Attachment B: FY24-25 General Fund Base Designated Allocation</t>
  </si>
  <si>
    <t>23-24
Base
Allocation</t>
  </si>
  <si>
    <t>24-25 Base Adjustment</t>
  </si>
  <si>
    <t>24-25
Base Designated
Allocation</t>
  </si>
  <si>
    <t xml:space="preserve"> -   </t>
  </si>
  <si>
    <t>(1) Designated base budget as of 6/30/2024.</t>
  </si>
  <si>
    <t>(2) Project Rebound: allocated $446k as base in 23-24 but received $357k base in 24-25 for FY23-24; reduce allocation by ($89,000).</t>
  </si>
  <si>
    <t xml:space="preserve">   $58,000 to support students with disability.</t>
  </si>
  <si>
    <t>(3) Total Designated base budget allocation.  Divisions must manage their spending in accordance with the designations of the funds.</t>
  </si>
  <si>
    <t xml:space="preserve"> A detail listing is on the following page</t>
  </si>
  <si>
    <t>Designations</t>
  </si>
  <si>
    <t>PRESIDENTS</t>
  </si>
  <si>
    <t>ACADEMIC</t>
  </si>
  <si>
    <t>STUDENT</t>
  </si>
  <si>
    <t>TOTAL</t>
  </si>
  <si>
    <t>OFFICE</t>
  </si>
  <si>
    <t>AFFAIRS</t>
  </si>
  <si>
    <t>C1460 - AB1460 Ethnic Studies</t>
  </si>
  <si>
    <t>C3285 - Academic Student Success Prgrm</t>
  </si>
  <si>
    <t>C3344 - Student Success RFP</t>
  </si>
  <si>
    <t>C3371 - Disability Accommodations</t>
  </si>
  <si>
    <t>C3389 - Project Rebound</t>
  </si>
  <si>
    <t>GI 2025 - Tenure Track Faculty</t>
  </si>
  <si>
    <t>GI 2025</t>
  </si>
  <si>
    <t>Financial Aid</t>
  </si>
  <si>
    <t>Basic Needs</t>
  </si>
  <si>
    <t>Attachment C: FY24-25 General Fund Base Fee Allocation</t>
  </si>
  <si>
    <t>Catetory I
Doctoral
Differential
Fee</t>
  </si>
  <si>
    <t>Category I
Graduate Business Prof Fee</t>
  </si>
  <si>
    <t xml:space="preserve">
Category II Student Success
Fee</t>
  </si>
  <si>
    <t>Category II
Student Health
Fee</t>
  </si>
  <si>
    <t>Category II
Orientation &amp; Photo ID
Fee</t>
  </si>
  <si>
    <t>Category III
Misc. Course Fees</t>
  </si>
  <si>
    <t>Category IV
Fees</t>
  </si>
  <si>
    <t xml:space="preserve">24-25
Base Fee Allocation
</t>
  </si>
  <si>
    <t>Note: Allocation is based on gross revenue and should cover all expenses including benefits.</t>
  </si>
  <si>
    <t>Category I</t>
  </si>
  <si>
    <t>Doctoral Differential</t>
  </si>
  <si>
    <t>Graduate Professional Fee</t>
  </si>
  <si>
    <t>Total Academic Affairs</t>
  </si>
  <si>
    <t>Category II - Student Success Fee</t>
  </si>
  <si>
    <t>Improve your classroom experience</t>
  </si>
  <si>
    <t>Support your academic success</t>
  </si>
  <si>
    <t>Enrich your path to graduation</t>
  </si>
  <si>
    <t>Strengthen your Wi-Fi and network connection</t>
  </si>
  <si>
    <t>Expand your IT help desk</t>
  </si>
  <si>
    <t>Access upgraded technology</t>
  </si>
  <si>
    <t>Total IT&amp;IP</t>
  </si>
  <si>
    <t>Support Bronco pride</t>
  </si>
  <si>
    <t>Embrace diversity and veterans</t>
  </si>
  <si>
    <t>Fund student project lab</t>
  </si>
  <si>
    <t>Total Student Affairs</t>
  </si>
  <si>
    <t>Category II - Student Health</t>
  </si>
  <si>
    <t>Student Health Fee</t>
  </si>
  <si>
    <t>Category II - Orientation*</t>
  </si>
  <si>
    <t>Orientation Fee</t>
  </si>
  <si>
    <t>Photo ID</t>
  </si>
  <si>
    <t>*Based on a total est. revenue of $1,002,654 split between $187.29 for Orientation (96.4%) and $7 for Photo ID (3.6%).</t>
  </si>
  <si>
    <t>Category III - Misc. Course Fees</t>
  </si>
  <si>
    <t>00000 - No Class Value</t>
  </si>
  <si>
    <t>AH202 - Clinical Anatomy Lab</t>
  </si>
  <si>
    <t>AH369 - Lab Animal Mgmt Rules &amp; Reg</t>
  </si>
  <si>
    <t>AH407 - AH407-Critical Care</t>
  </si>
  <si>
    <t>AV114 - Food Animal Science Lab</t>
  </si>
  <si>
    <t>AV125 - Equine Management Lab</t>
  </si>
  <si>
    <t>AV350 - Anat &amp; Phys of Domestic Animal</t>
  </si>
  <si>
    <t>AV430 - Biotech App in Animal Science</t>
  </si>
  <si>
    <t>BI111 - BIO111L - Life Science Lab</t>
  </si>
  <si>
    <t>BI115 - BIO115L - Basic Biology Lab</t>
  </si>
  <si>
    <t>BI121 - BIO121L - Energy &amp; Matter Lab</t>
  </si>
  <si>
    <t>BI122 - BIO1220L-Foundations of Bio</t>
  </si>
  <si>
    <t>BI206 - BIO2060L-Basic Micro Lab</t>
  </si>
  <si>
    <t>BI235 - BIO235L - Human Physiology</t>
  </si>
  <si>
    <t>BI440 - BI440 - Stem Cell Lab</t>
  </si>
  <si>
    <t>BI465 - BI465 - Immunology Lab</t>
  </si>
  <si>
    <t>BI467 - BIO4670L-Gen Virology Lab Fee</t>
  </si>
  <si>
    <t>BKSLP - BKSLP-Bookstore Laptop Program</t>
  </si>
  <si>
    <t>C4416 - Bookstore Voucher Program</t>
  </si>
  <si>
    <t>CE320 - CE3201L-Environ Resource Mgmt</t>
  </si>
  <si>
    <t>CE340 - CE3401L-Geotechnical Engineer</t>
  </si>
  <si>
    <t>CE420 - CE4201L-Water Supply Lab Fee</t>
  </si>
  <si>
    <t>CE543 - CE5431L-Subsurface Explor &amp; Ch</t>
  </si>
  <si>
    <t>CH121 - CHM 1210L-General Chemistry</t>
  </si>
  <si>
    <t>CH122 - CHM 1220L-General Chemistry</t>
  </si>
  <si>
    <t>CH201 - CHM2010-Elemt Organic Chem Lab</t>
  </si>
  <si>
    <t>CH221 - CHM221L - Quantitative Analys</t>
  </si>
  <si>
    <t>CH314 - CHM3140L-Organic Chem I Lab</t>
  </si>
  <si>
    <t>CH315 - CHM3150L-Organic Chemistry II</t>
  </si>
  <si>
    <t>CH327 - CH3270L-Biochemistry Lab I</t>
  </si>
  <si>
    <t>EBK01 - E-Book Fee</t>
  </si>
  <si>
    <t>EE100 - ECE Lab Fee</t>
  </si>
  <si>
    <t>FS427 - FS4271L-Food Processing</t>
  </si>
  <si>
    <t>HT250 - HRT2550-Healthy Amer Cuisine</t>
  </si>
  <si>
    <t>HT281 - HRT281-Professional Cook</t>
  </si>
  <si>
    <t>HT312 - HRT 312-Beer and Culture</t>
  </si>
  <si>
    <t>HT315 - HRT315-Wines,Beer,Spirit</t>
  </si>
  <si>
    <t>HT324 - HRT324-World Cuisine</t>
  </si>
  <si>
    <t>HT325 - HRT325-Prof Health Cooking</t>
  </si>
  <si>
    <t>HT381 - HRT381-Professional Cook I</t>
  </si>
  <si>
    <t>MF201 - Manufact Sys and Proc Lab Fee</t>
  </si>
  <si>
    <t>NT121 - NTR1210L-Intro to Food</t>
  </si>
  <si>
    <t>PL112 - PLT1120L-Landscape Horticultur</t>
  </si>
  <si>
    <t>TX005 - Dietetic Internship</t>
  </si>
  <si>
    <t>TX011 - ADA Trans Evaluation</t>
  </si>
  <si>
    <t>VC312 - VCD1312A-Begin Life Drawing</t>
  </si>
  <si>
    <t>VC330 - VCD1330A-Intro to Clay</t>
  </si>
  <si>
    <t>VC361 - VCD3361A-Life Drawing</t>
  </si>
  <si>
    <t>VC363 - VCD3363A-Printmaking</t>
  </si>
  <si>
    <t>VC364 - VCD3364A-Ceramica</t>
  </si>
  <si>
    <t>VC365 - VCD3365A-Fundamental of Sculp</t>
  </si>
  <si>
    <t>AH363 - AHS 3263L - Srgcl Nursng Sklls</t>
  </si>
  <si>
    <t>AM360 - AMM 3600L - Txtle Qlty Assrnce</t>
  </si>
  <si>
    <t>AM414 - AMM 4140L - Apprl Prd Dev Sim</t>
  </si>
  <si>
    <t>AM280 - AMM 2800L - Apprl Cstrctn Qlty</t>
  </si>
  <si>
    <t>AH335 - AHS 3235L - Lb Prcdr Clnc Path</t>
  </si>
  <si>
    <t>BI463 - BIO4635 Medical Microbiology*</t>
  </si>
  <si>
    <t>BI470 - BIO 4700L Hematology**</t>
  </si>
  <si>
    <t>*New fee, $40 per semester</t>
  </si>
  <si>
    <t>**New fee, $50 per semester</t>
  </si>
  <si>
    <t>Category IV User Fee</t>
  </si>
  <si>
    <t>C4401 - Chemistry</t>
  </si>
  <si>
    <t>C4403 - Diploma</t>
  </si>
  <si>
    <t>C4404 - Physical Education</t>
  </si>
  <si>
    <t>C4406 - Library Obligations</t>
  </si>
  <si>
    <t>C4407 - Library Fines/Late Fees</t>
  </si>
  <si>
    <t>C4413 - Math/Calculus Placement</t>
  </si>
  <si>
    <t>C4415 - Special Exam Revenue</t>
  </si>
  <si>
    <t>TX019 - Credential Evaluation</t>
  </si>
  <si>
    <t>TX038 - Grad Writing Test</t>
  </si>
  <si>
    <t>TX040 - IGE Trust</t>
  </si>
  <si>
    <t>TX048 - PCPT</t>
  </si>
  <si>
    <t>TX051 - Musical Instrument Repair</t>
  </si>
  <si>
    <t>TX058 - Proj &amp; Thesis Binding</t>
  </si>
  <si>
    <t>TX008 - Univ Acctg</t>
  </si>
  <si>
    <t>Total Admin Affairs</t>
  </si>
  <si>
    <t>501813 - Medical Services</t>
  </si>
  <si>
    <t>C4402 - Commencement</t>
  </si>
  <si>
    <t>Total Advancement</t>
  </si>
  <si>
    <t>Attachment D: FY24-25 General Fund Carryforward &amp; One-Time Fund Allocation</t>
  </si>
  <si>
    <t>23-24 
Year-End Balance</t>
  </si>
  <si>
    <t>23-24 
Carryforward Adjustment</t>
  </si>
  <si>
    <t>Total
Carryfward Allocation</t>
  </si>
  <si>
    <t>24-25 
Compensation (Ongoing Funding)</t>
  </si>
  <si>
    <t>24-25 Carryforward &amp; One-Time Allocation</t>
  </si>
  <si>
    <t>23-24
Year-End Balance</t>
  </si>
  <si>
    <t xml:space="preserve">24-25 Tenure/Tenure Track Hires </t>
  </si>
  <si>
    <t>Attachment G</t>
  </si>
  <si>
    <t>Attachment E</t>
  </si>
  <si>
    <t>Attachment F</t>
  </si>
  <si>
    <t>(1) FY23-24 year-end Undesignated carryforward according to Tableau.</t>
  </si>
  <si>
    <t>(2) Transfer $298,491 one-time funds from OoP to UA for #5884, #5883, #1496.</t>
  </si>
  <si>
    <t xml:space="preserve">   Transfer $220,269 from Academic Affairs to University Level to offset deficit in Financial Aid Institutional Scholarships/Grants.  See Attachment H for more details.</t>
  </si>
  <si>
    <t xml:space="preserve">   Transfer $6,510 from IT Undesignated to Designated to close out the deficit in C3348; see Attachment E for the offset.</t>
  </si>
  <si>
    <t xml:space="preserve">   Increase OoP Carryforward for 601809-POM01-73730 by $84,549, offsetting 601809-PCR01-73700.</t>
  </si>
  <si>
    <t xml:space="preserve">   Transfer $603,000 CFWD from Undesignated and to Designated and  $5,185,824 from Undesignated to Fees to adjust year-end balances by designation.</t>
  </si>
  <si>
    <t>(3) $660,000 IT software funded centrally.</t>
  </si>
  <si>
    <t>(4) State appropriation for compensation; the amount is a cap.  $1M held for benefits.  See Attachment G for more details.</t>
  </si>
  <si>
    <t>(5) FY23-24 year-end Designated carryforward balances plus adjustments.  See Attachment E for more details.</t>
  </si>
  <si>
    <t>(6) $2,848,000 Designated GI2025 funding for salaries of 32 net new tenure hires (52 new hires - 20 departures); benefits held centrally.</t>
  </si>
  <si>
    <t>Source [not in print range]:</t>
  </si>
  <si>
    <t>2024.06.30 budget vs. actual (Tableau Final) - Reserve Balances by Designation.xlsx</t>
  </si>
  <si>
    <t>Attachment E: FY24-25 General Fund Designated Carryforward &amp; One-Time Fund Allocation</t>
  </si>
  <si>
    <t>Carryforward</t>
  </si>
  <si>
    <t>New</t>
  </si>
  <si>
    <t>(8)</t>
  </si>
  <si>
    <t>GI 2025 for Tenure Density</t>
  </si>
  <si>
    <t xml:space="preserve">GI 2025
</t>
  </si>
  <si>
    <t xml:space="preserve">Cal-Bridge
</t>
  </si>
  <si>
    <t>Student Success RFP</t>
  </si>
  <si>
    <t>Basic
Needs</t>
  </si>
  <si>
    <t>Other
Designated</t>
  </si>
  <si>
    <t>CFWD Adjustments</t>
  </si>
  <si>
    <t>Total Carryfward Allocation</t>
  </si>
  <si>
    <t>24-25 Tenure/Tenure Track Hires</t>
  </si>
  <si>
    <t>24-25 Total
One-Time Fund
Allocation</t>
  </si>
  <si>
    <t>Designation is based on CO's designation and not campus-level designation.</t>
  </si>
  <si>
    <t>(1) Carryforward from Designated funds for tenure density, C3361</t>
  </si>
  <si>
    <t>(2) Carryforward from Designated funds for GI2025, C336X.  Negative balance will reduce base budget funding on a one-time basis.</t>
  </si>
  <si>
    <t>(3) Cal-Bridge program Carryforward funds, C3431</t>
  </si>
  <si>
    <t>(4) Student Success RFP Carryforward funds, C3344</t>
  </si>
  <si>
    <t>(5) Student basic needs Carryforward funds, $337x.  Negative balance will reduce base budget funding on a one-time basis.</t>
  </si>
  <si>
    <t xml:space="preserve">(6) Other Designated includes the remaining Designated funds; see the breakdown on the next page. </t>
  </si>
  <si>
    <t>(7) Transfer $6,510 from IT&amp;IP Undesignated one-time funds to offset ($6,510) to zero.</t>
  </si>
  <si>
    <t xml:space="preserve">   Transfer $603,000 from Undesignated Carryforward to Designated Carryforward to adjust the year-end balances by designation.</t>
  </si>
  <si>
    <t>(8) $2,848,000 Designated GI2025 funding for salaries of 32 net new tenure hires (52 new hires - 20 departures); benefits held centrally.</t>
  </si>
  <si>
    <t xml:space="preserve"> A detail listing is on the following page.</t>
  </si>
  <si>
    <t>ADMIN</t>
  </si>
  <si>
    <t>UNIVERSITY</t>
  </si>
  <si>
    <t>CFWD</t>
  </si>
  <si>
    <t>ADVANCEMENT</t>
  </si>
  <si>
    <t>Adj</t>
  </si>
  <si>
    <t>C1005 - Research &amp; Creative Activity</t>
  </si>
  <si>
    <t>C1014 - Service Learning</t>
  </si>
  <si>
    <t>C3043 - Job Location &amp; Dev</t>
  </si>
  <si>
    <t>C3157 - Chancellor's FinAid Funds</t>
  </si>
  <si>
    <t>C3189 - Renaissance Scholars</t>
  </si>
  <si>
    <t>C3191 - Articulation Support</t>
  </si>
  <si>
    <t>C3218 - Math/Science Initiative</t>
  </si>
  <si>
    <t>C3257 - CO TEACH Fund</t>
  </si>
  <si>
    <t>(a)</t>
  </si>
  <si>
    <t>C3325 - CSU Senate Travel</t>
  </si>
  <si>
    <t>C3348 - Semester Conversion</t>
  </si>
  <si>
    <t>C3360 - SSCI - GI2025</t>
  </si>
  <si>
    <t>(b)</t>
  </si>
  <si>
    <t>C3361 - SSCI - Tenure Track Faculty</t>
  </si>
  <si>
    <t>C3362 - SSCI - Enhanced Advising</t>
  </si>
  <si>
    <t>C3363 - SSCI - Bottleneck Solutions</t>
  </si>
  <si>
    <t>C3364 - SSCI - Student Prep</t>
  </si>
  <si>
    <t>C3365 - SSCI - Retention</t>
  </si>
  <si>
    <t>C3366 - SSCI - Data-Driven Decisions</t>
  </si>
  <si>
    <t>C3372 - Hunger-Free Campus Designation (Basic Needs)</t>
  </si>
  <si>
    <t>C3400 - MSTI-STEM Challenge</t>
  </si>
  <si>
    <t>C3418 - Fac Prf Dev &amp; Eq Opp Practices</t>
  </si>
  <si>
    <t>C3421 - Direct Student Support</t>
  </si>
  <si>
    <t>C3431 - Cal-Bridge Program</t>
  </si>
  <si>
    <t>C3454 - CPP UNIVERSITY FARMS</t>
  </si>
  <si>
    <t>C3464 - AANHPI Program</t>
  </si>
  <si>
    <t>C3469 - Black Student Success</t>
  </si>
  <si>
    <t>C3474 - Alumni Student Connections</t>
  </si>
  <si>
    <t>TX068 - Teacher Prep Reading</t>
  </si>
  <si>
    <t>Notes:</t>
  </si>
  <si>
    <t>(a) balances in these class codes can be combined and redistributed</t>
  </si>
  <si>
    <t>(b) balances in these class codes can be combined and redistributed since they are all classified as GI2025</t>
  </si>
  <si>
    <t>Attachment F: FY24-25 General Fund Fees Carryforward &amp; One-Time Fund Allocation</t>
  </si>
  <si>
    <t>Category I
Doctoral
Differential
Fee</t>
  </si>
  <si>
    <t xml:space="preserve">Centrally Managed
</t>
  </si>
  <si>
    <t>24-25
Carryforward Allocation</t>
  </si>
  <si>
    <t>(1) Prior year adjustment: $300,080; allocated full amount instead of differential only in FY23-24.</t>
  </si>
  <si>
    <t>CE127 - CE127-Civil Engin Lab Fee</t>
  </si>
  <si>
    <t>HT255 - HRT255-Health AmerCuisine</t>
  </si>
  <si>
    <t>C4410 - KHP - Swimming Fee</t>
  </si>
  <si>
    <t>C4414 - Late Fee Past Due Balance-IPP</t>
  </si>
  <si>
    <t>C4418 - Medical Services</t>
  </si>
  <si>
    <t>Attachment G: FY24-25 General Fund Compensation Summary</t>
  </si>
  <si>
    <t xml:space="preserve"> </t>
  </si>
  <si>
    <t>Division Funded</t>
  </si>
  <si>
    <t>CO Funded</t>
  </si>
  <si>
    <t>Div Funded</t>
  </si>
  <si>
    <t>May Est</t>
  </si>
  <si>
    <t>Variance</t>
  </si>
  <si>
    <t>(1)</t>
  </si>
  <si>
    <t>(2)</t>
  </si>
  <si>
    <t>(3)</t>
  </si>
  <si>
    <t>(6)</t>
  </si>
  <si>
    <t>(7)</t>
  </si>
  <si>
    <t>Salaries</t>
  </si>
  <si>
    <t>Benefits</t>
  </si>
  <si>
    <t>Divisions</t>
  </si>
  <si>
    <t>Univ Level</t>
  </si>
  <si>
    <t>Grand Total</t>
  </si>
  <si>
    <t>CPP Funded</t>
  </si>
  <si>
    <t>University Level Benefits</t>
  </si>
  <si>
    <t xml:space="preserve">(1) Reflects the state appropriation received through the Chancellor's Office for compensation; the amount is a cap.  </t>
  </si>
  <si>
    <t>(2) Compensation funding gap to be self-funded by divisions and equals Column (3) - Column (1).</t>
  </si>
  <si>
    <t>(3) Compensation total includes a 5% GSI for all represented units that have reached their bargaining agreements, plus 2.3% prorated SSI for CFA (2.65%), and a placeholder for APC (Unit 4), Confidentials, and MPP.</t>
  </si>
  <si>
    <t>(4) Fee salary and benefit increases are entirely self-support.</t>
  </si>
  <si>
    <t>(5) Amount equals Column (1).</t>
  </si>
  <si>
    <t>(6) Total divisional self-funded amount (Undesignated &amp; Fees) equals Column (2) + Column (4).</t>
  </si>
  <si>
    <t>(7) May 2024 self-funded estimate based on the May Revision, which included no Compact for the CSU.</t>
  </si>
  <si>
    <t>(8) Variance equals Column (7) - Column (6), primarily due to the State providing the FY24-25 Compact.</t>
  </si>
  <si>
    <t>HR PSN Listing - Crosstab as of 2024-07-01 2024-08-19.xlsx</t>
  </si>
  <si>
    <t>Attachment H: FY24-25 General Fund Financial Aid Summary</t>
  </si>
  <si>
    <t>SUG Adjustment</t>
  </si>
  <si>
    <t>24-25
Base 
Financial Aid</t>
  </si>
  <si>
    <t>Total Carryforward</t>
  </si>
  <si>
    <t>24-25
Financial Aid
Allocation</t>
  </si>
  <si>
    <t>State University Grant</t>
  </si>
  <si>
    <t>State EOP Grant Program</t>
  </si>
  <si>
    <t>State Graduate Fellowship</t>
  </si>
  <si>
    <t>Institutional Scholarships/Grants</t>
  </si>
  <si>
    <t>Summer Enrollment Grant</t>
  </si>
  <si>
    <t>Emergency Grants - CARES</t>
  </si>
  <si>
    <t>Undesignated Total</t>
  </si>
  <si>
    <t>Doctoral Differential Fee (10%)</t>
  </si>
  <si>
    <t>Graduate Business Professional Fee (25%)</t>
  </si>
  <si>
    <t>TK274 - Cal Poly Pomona Grant</t>
  </si>
  <si>
    <t>Fees Total</t>
  </si>
  <si>
    <t>Lottery</t>
  </si>
  <si>
    <t>IFT 23-0086 Scholarship Post Bac</t>
  </si>
  <si>
    <t>(1) Base financial aid allocations as of 6/30/2024.</t>
  </si>
  <si>
    <t>(2) CO's financial aid adjutment, recalculated based on a 5% redistribution and new commitment due to tuition increase.</t>
  </si>
  <si>
    <t>(3) Carryforward financial aid balances as of 6/30/24.  Negative balance will reduce base budget funding on a one-time basis.</t>
  </si>
  <si>
    <t>(4) Offset deficit with divisional carryforward since no new allocation is anticipated.</t>
  </si>
  <si>
    <t>Attachment I: FY24-25 Lottery Fund Base Allocation</t>
  </si>
  <si>
    <t>23-24
Ending Base
Allocation</t>
  </si>
  <si>
    <t>24-25
Base Budget Allocation</t>
  </si>
  <si>
    <t>24-25
Base
Allocation</t>
  </si>
  <si>
    <t>(1) Lottery (TY033) base budget as of 6/30/2024 according to Tableau</t>
  </si>
  <si>
    <t>(2) Allocation for instructional equipment.</t>
  </si>
  <si>
    <t>Attachment J: FY24-25 Lottery Carryforward Allocation</t>
  </si>
  <si>
    <t>23-24
Year-End
Balance
TY006</t>
  </si>
  <si>
    <t>23-24
Year-End
Balance
TY017</t>
  </si>
  <si>
    <t>23-24
Year-End
Balance
TY033</t>
  </si>
  <si>
    <t>University Financial Aid</t>
  </si>
  <si>
    <t>(1) Financial Aid $53,000 IFT23-0086 Scholarship Post-Bac.</t>
  </si>
  <si>
    <t>Attachment K: FY24-25 Cost Recovery Projected Revenue Allocation</t>
  </si>
  <si>
    <t>PCR01
Internal Sources</t>
  </si>
  <si>
    <t>PCR02
External Sources</t>
  </si>
  <si>
    <t>PCR03 FACULTY RELEASE TIME</t>
  </si>
  <si>
    <t>PCR04
Acad Fac Space Rental</t>
  </si>
  <si>
    <t>PCR05
Theater Space Rental</t>
  </si>
  <si>
    <t>PCR06
Film &amp; Photo Shoot</t>
  </si>
  <si>
    <t>PCR07
Capital Proj Mgmt</t>
  </si>
  <si>
    <t>PCR08
Capital Proj Utilities Conn</t>
  </si>
  <si>
    <t>PCR10
AB798 Textbook</t>
  </si>
  <si>
    <t>24-25
Budget
 Allocation</t>
  </si>
  <si>
    <t>Note: Annual budget allocation should be posted as 'Adjustment' budget scenario.</t>
  </si>
  <si>
    <t xml:space="preserve">    Projected budgets are based on recurring revenue trends for the past three years as well as current cost recovery agreements.</t>
  </si>
  <si>
    <t>Fund</t>
  </si>
  <si>
    <t>Division</t>
  </si>
  <si>
    <t>Dept ID</t>
  </si>
  <si>
    <t>Original Class</t>
  </si>
  <si>
    <t>Est. Budget</t>
  </si>
  <si>
    <t>PCR01 - COST RECOVERY-INTERNAL SOURCES</t>
  </si>
  <si>
    <t>20000 - VP Academic Affairs Office</t>
  </si>
  <si>
    <t>20001 - VP Academic Affs Instructional</t>
  </si>
  <si>
    <t>30200 - Theatre and New Dance</t>
  </si>
  <si>
    <t>TX107 - RENT OF FACILITIES-THEATRE</t>
  </si>
  <si>
    <t>30700 - Music</t>
  </si>
  <si>
    <t>48400 - Architecture</t>
  </si>
  <si>
    <t>C3194 - Laser Cutting</t>
  </si>
  <si>
    <t>C3195 - 3D Printing - Plastic</t>
  </si>
  <si>
    <t>C3196 - 3D Printing - Powder</t>
  </si>
  <si>
    <t>55400 - Ethnic &amp; Women's Studies</t>
  </si>
  <si>
    <t>55800 - Library</t>
  </si>
  <si>
    <t>63700 - AVP Enrollment Mgmt &amp; Services</t>
  </si>
  <si>
    <t>Admin Affairs</t>
  </si>
  <si>
    <t>67400 - VP Administrative Affs Office</t>
  </si>
  <si>
    <t>67700 - Accounting Services</t>
  </si>
  <si>
    <t>67900 - Student Aid Accting &amp; Cashiers</t>
  </si>
  <si>
    <t>69100 - Graphics Communications</t>
  </si>
  <si>
    <t>C5005 - Print Mimeo</t>
  </si>
  <si>
    <t>69300 - Distribution Services</t>
  </si>
  <si>
    <t>70100 - Events and Recycling</t>
  </si>
  <si>
    <t>70800 - Motorpool</t>
  </si>
  <si>
    <t>71063 - Facilities I POLY</t>
  </si>
  <si>
    <t>71100 - HVAC</t>
  </si>
  <si>
    <t>71201 - Electrical Shop</t>
  </si>
  <si>
    <t>71202 - Plumbing Shop</t>
  </si>
  <si>
    <t>71204 - Paint Shop</t>
  </si>
  <si>
    <t>71205 - Lock Shop</t>
  </si>
  <si>
    <t>71300 - Landscape Services</t>
  </si>
  <si>
    <t>71360 - Facilities-Landscape MOU's</t>
  </si>
  <si>
    <t>71400 - Custodial Services</t>
  </si>
  <si>
    <t>71501 - Carpenter Shop</t>
  </si>
  <si>
    <t>71504 - Project Coordination</t>
  </si>
  <si>
    <t>72100 - Procurement Office</t>
  </si>
  <si>
    <t>72300 - Facilities Management</t>
  </si>
  <si>
    <t>72675 - Police Officers RE MOU</t>
  </si>
  <si>
    <t>72678 - Dispatcher  RE MOU</t>
  </si>
  <si>
    <t>72679 - CSO RE MOU</t>
  </si>
  <si>
    <t>75000 - Budget Planning &amp; Analysis</t>
  </si>
  <si>
    <t>96000 - Energy Services</t>
  </si>
  <si>
    <t>34063 - Institutional Technology</t>
  </si>
  <si>
    <t>C5150 - Production Services Funds</t>
  </si>
  <si>
    <t>C5200 - Auxiliary CB</t>
  </si>
  <si>
    <t>C5210 - Network Auxiliary</t>
  </si>
  <si>
    <t>C5211 - IT NETWORKS</t>
  </si>
  <si>
    <t>C5212 - IT CLASSROOM TECH</t>
  </si>
  <si>
    <t>C5213 - DIGITAL SIGNAGE</t>
  </si>
  <si>
    <t>C5230 - Computer Bulk Buy</t>
  </si>
  <si>
    <t>C5240 - MOU Specific AA</t>
  </si>
  <si>
    <t>C5300 - Support Services Funds</t>
  </si>
  <si>
    <t>Presidents Office</t>
  </si>
  <si>
    <t>69600 - Payroll &amp; Benefits Services</t>
  </si>
  <si>
    <t>69710 - Classification &amp; Compensation</t>
  </si>
  <si>
    <t>69720 - Organizational Excellence</t>
  </si>
  <si>
    <t>69730 - Talent Acquis &amp; Divers Outrch</t>
  </si>
  <si>
    <t>69740 - Empl &amp; Labor Relations &amp; Compl</t>
  </si>
  <si>
    <t>73700 - President's Office</t>
  </si>
  <si>
    <t>61500 - Student Aff Divisional Reserve</t>
  </si>
  <si>
    <t>Univ Adv</t>
  </si>
  <si>
    <t>74300 - VP Univ Advancement Office</t>
  </si>
  <si>
    <t>PCR02 - COST RECOVERY-EXTERNAL SOURCES</t>
  </si>
  <si>
    <t>48700 - Art Gallery</t>
  </si>
  <si>
    <t>50200 - Geological Sciences</t>
  </si>
  <si>
    <t>C3188 - I-POLY Lease</t>
  </si>
  <si>
    <t>63400 - Registrar's</t>
  </si>
  <si>
    <t>72672 - Police-FND</t>
  </si>
  <si>
    <t>74200 - Strategic Communications</t>
  </si>
  <si>
    <t>74500 - Annual Fund</t>
  </si>
  <si>
    <t>74600 - Development</t>
  </si>
  <si>
    <t>74800 - Univ Advancement Services</t>
  </si>
  <si>
    <t>PCR03 - FACULTY RELEASE TIME</t>
  </si>
  <si>
    <t>44662 - Engineering-Ext Cost Rec</t>
  </si>
  <si>
    <t>G0155 - Fndamantel Study Calcium Sulph</t>
  </si>
  <si>
    <t>49861 - College of Sci.-Ext Cost Rec</t>
  </si>
  <si>
    <t>G0225 - NIH T32 Bridges</t>
  </si>
  <si>
    <t>G0375 - CPP INVESTS</t>
  </si>
  <si>
    <t>62600 - Disability Resource Center</t>
  </si>
  <si>
    <t>G1220 - Arches Grant - Student Support</t>
  </si>
  <si>
    <t>64200 - CARE Services</t>
  </si>
  <si>
    <t>G8180 - Cal Fresh</t>
  </si>
  <si>
    <t>G8670 - Project CAMINOS</t>
  </si>
  <si>
    <t>54369 - CEIS Education Ext Cost Rec</t>
  </si>
  <si>
    <t>G8680 - LOGRAR</t>
  </si>
  <si>
    <t>G8910 - Subcellular-Molecular Players</t>
  </si>
  <si>
    <t>49862 - College of Sci.-Ext Cost Rec</t>
  </si>
  <si>
    <t>G9290 - BOEM-MARINe</t>
  </si>
  <si>
    <t>PCR04 - ACAD FACILITY SPACE RENTAL</t>
  </si>
  <si>
    <t>72010 - Event Venues &amp; Meeting Spaces</t>
  </si>
  <si>
    <t>TX105 - RENT OF FACILITIES-FAC MGMT</t>
  </si>
  <si>
    <t>TX106 - RENT OF FACILITIES-PRKG SVCS</t>
  </si>
  <si>
    <t>TX110 - LoF - Rental of Facilities</t>
  </si>
  <si>
    <t>TX112 - RENT OF FACILITIES-ATHLETICS</t>
  </si>
  <si>
    <t>PCR06 - FILM &amp; PHOTO SHOOT SPACE RNTL</t>
  </si>
  <si>
    <t>TX116 - FILMING AND PHOTO SHOOTS</t>
  </si>
  <si>
    <t>PCR07 - CAPITAL PROJECT MANAGEMENT</t>
  </si>
  <si>
    <t>96264 - Project Management</t>
  </si>
  <si>
    <t>[not in print range]</t>
  </si>
  <si>
    <t>Sum of Est. Budget</t>
  </si>
  <si>
    <t>Column Labels</t>
  </si>
  <si>
    <t>Row Labels</t>
  </si>
  <si>
    <t>FY24-25 Cost Recovery Spending Plan - Proposed.xlsx</t>
  </si>
  <si>
    <t>Attachment L: FY24-25 Cost Recovery Carryforward</t>
  </si>
  <si>
    <t>24-25
Carryforward
 Allocation</t>
  </si>
  <si>
    <t>(1) Reduce OoP carryforward for 601809-PCR01-73700 by $89,549, offsetting General Fund carryforward for 601809-POM01-73730,</t>
  </si>
  <si>
    <t>(2) PCR07 reduced by $94,095 to account for prior year encumbrance adjustment.</t>
  </si>
  <si>
    <t>Attachment F: Financial Aid</t>
  </si>
  <si>
    <t xml:space="preserve">  $6.6M earmarked for recurring comp increase.</t>
  </si>
  <si>
    <t>24-25
Other Allocations (Ongoing)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</si>
</sst>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_(&quot;$&quot;* #,##0_);_(&quot;$&quot;* \(#,##0\);_(&quot;$&quot;* &quot;-&quot;??_);_(@_)"/>
    <numFmt numFmtId="167" formatCode="0.0000%"/>
    <numFmt numFmtId="168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Times New Roman"/>
      <family val="2"/>
    </font>
    <font>
      <u/>
      <sz val="11"/>
      <color theme="1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DEDED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80">
    <xf numFmtId="0" fontId="0" fillId="0" borderId="0" xfId="0"/>
    <xf numFmtId="37" fontId="0" fillId="0" borderId="0" xfId="0" applyNumberFormat="1" applyAlignment="1">
      <alignment horizontal="center"/>
    </xf>
    <xf numFmtId="37" fontId="0" fillId="0" borderId="0" xfId="0" applyNumberFormat="1"/>
    <xf numFmtId="37" fontId="2" fillId="0" borderId="0" xfId="0" applyNumberFormat="1" applyFont="1"/>
    <xf numFmtId="37" fontId="0" fillId="0" borderId="0" xfId="0" applyNumberFormat="1" applyAlignment="1">
      <alignment horizontal="center" wrapText="1"/>
    </xf>
    <xf numFmtId="37" fontId="1" fillId="0" borderId="0" xfId="0" applyNumberFormat="1" applyFont="1" applyAlignment="1">
      <alignment horizontal="center" wrapText="1"/>
    </xf>
    <xf numFmtId="37" fontId="1" fillId="0" borderId="0" xfId="0" applyNumberFormat="1" applyFont="1" applyAlignment="1">
      <alignment horizontal="center"/>
    </xf>
    <xf numFmtId="164" fontId="0" fillId="0" borderId="0" xfId="1" applyNumberFormat="1" applyFont="1" applyFill="1" applyAlignment="1">
      <alignment horizontal="right" indent="1"/>
    </xf>
    <xf numFmtId="164" fontId="1" fillId="0" borderId="2" xfId="1" applyNumberFormat="1" applyFont="1" applyFill="1" applyBorder="1" applyAlignment="1">
      <alignment horizontal="right" indent="1"/>
    </xf>
    <xf numFmtId="37" fontId="1" fillId="0" borderId="2" xfId="0" applyNumberFormat="1" applyFont="1" applyBorder="1"/>
    <xf numFmtId="5" fontId="1" fillId="0" borderId="4" xfId="0" applyNumberFormat="1" applyFont="1" applyBorder="1"/>
    <xf numFmtId="164" fontId="1" fillId="0" borderId="4" xfId="1" applyNumberFormat="1" applyFont="1" applyFill="1" applyBorder="1" applyAlignment="1">
      <alignment horizontal="right" indent="1"/>
    </xf>
    <xf numFmtId="5" fontId="1" fillId="0" borderId="0" xfId="0" applyNumberFormat="1" applyFont="1"/>
    <xf numFmtId="5" fontId="1" fillId="0" borderId="0" xfId="0" applyNumberFormat="1" applyFont="1" applyAlignment="1">
      <alignment horizontal="right" indent="1"/>
    </xf>
    <xf numFmtId="37" fontId="0" fillId="0" borderId="6" xfId="0" applyNumberFormat="1" applyBorder="1" applyAlignment="1">
      <alignment horizontal="center" wrapText="1"/>
    </xf>
    <xf numFmtId="37" fontId="3" fillId="0" borderId="6" xfId="0" applyNumberFormat="1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wrapText="1"/>
    </xf>
    <xf numFmtId="14" fontId="5" fillId="0" borderId="0" xfId="0" applyNumberFormat="1" applyFont="1" applyAlignment="1">
      <alignment horizontal="left"/>
    </xf>
    <xf numFmtId="37" fontId="0" fillId="0" borderId="0" xfId="0" applyNumberFormat="1" applyAlignment="1">
      <alignment horizontal="right"/>
    </xf>
    <xf numFmtId="37" fontId="0" fillId="2" borderId="1" xfId="0" applyNumberFormat="1" applyFill="1" applyBorder="1" applyAlignment="1">
      <alignment horizontal="center"/>
    </xf>
    <xf numFmtId="37" fontId="1" fillId="2" borderId="1" xfId="0" applyNumberFormat="1" applyFont="1" applyFill="1" applyBorder="1" applyAlignment="1">
      <alignment horizontal="center" wrapText="1"/>
    </xf>
    <xf numFmtId="37" fontId="3" fillId="2" borderId="7" xfId="0" applyNumberFormat="1" applyFont="1" applyFill="1" applyBorder="1" applyAlignment="1">
      <alignment horizontal="center" vertical="center"/>
    </xf>
    <xf numFmtId="164" fontId="0" fillId="2" borderId="1" xfId="1" applyNumberFormat="1" applyFont="1" applyFill="1" applyBorder="1" applyAlignment="1">
      <alignment horizontal="right" indent="1"/>
    </xf>
    <xf numFmtId="164" fontId="1" fillId="2" borderId="3" xfId="1" applyNumberFormat="1" applyFont="1" applyFill="1" applyBorder="1" applyAlignment="1">
      <alignment horizontal="right" indent="1"/>
    </xf>
    <xf numFmtId="164" fontId="1" fillId="2" borderId="5" xfId="1" applyNumberFormat="1" applyFont="1" applyFill="1" applyBorder="1" applyAlignment="1">
      <alignment horizontal="right" indent="1"/>
    </xf>
    <xf numFmtId="164" fontId="0" fillId="0" borderId="0" xfId="1" applyNumberFormat="1" applyFont="1"/>
    <xf numFmtId="37" fontId="6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65" fontId="2" fillId="0" borderId="0" xfId="0" quotePrefix="1" applyNumberFormat="1" applyFont="1" applyAlignment="1">
      <alignment wrapText="1"/>
    </xf>
    <xf numFmtId="165" fontId="2" fillId="0" borderId="0" xfId="0" quotePrefix="1" applyNumberFormat="1" applyFont="1" applyAlignment="1">
      <alignment horizontal="right" wrapText="1"/>
    </xf>
    <xf numFmtId="37" fontId="0" fillId="3" borderId="0" xfId="0" applyNumberFormat="1" applyFill="1" applyAlignment="1">
      <alignment horizontal="center"/>
    </xf>
    <xf numFmtId="37" fontId="1" fillId="3" borderId="0" xfId="0" applyNumberFormat="1" applyFont="1" applyFill="1" applyAlignment="1">
      <alignment horizontal="center" wrapText="1"/>
    </xf>
    <xf numFmtId="14" fontId="0" fillId="0" borderId="6" xfId="0" applyNumberFormat="1" applyBorder="1" applyAlignment="1">
      <alignment horizontal="center" wrapText="1"/>
    </xf>
    <xf numFmtId="164" fontId="0" fillId="0" borderId="0" xfId="0" applyNumberFormat="1"/>
    <xf numFmtId="37" fontId="7" fillId="0" borderId="0" xfId="0" applyNumberFormat="1" applyFont="1"/>
    <xf numFmtId="37" fontId="8" fillId="0" borderId="0" xfId="0" quotePrefix="1" applyNumberFormat="1" applyFont="1"/>
    <xf numFmtId="37" fontId="0" fillId="0" borderId="0" xfId="0" quotePrefix="1" applyNumberFormat="1" applyAlignment="1">
      <alignment horizontal="center"/>
    </xf>
    <xf numFmtId="0" fontId="10" fillId="5" borderId="11" xfId="0" applyFont="1" applyFill="1" applyBorder="1" applyAlignment="1">
      <alignment horizontal="center" wrapText="1"/>
    </xf>
    <xf numFmtId="0" fontId="9" fillId="4" borderId="11" xfId="0" applyFont="1" applyFill="1" applyBorder="1" applyAlignment="1">
      <alignment horizontal="right" indent="1"/>
    </xf>
    <xf numFmtId="164" fontId="1" fillId="2" borderId="13" xfId="1" applyNumberFormat="1" applyFont="1" applyFill="1" applyBorder="1" applyAlignment="1">
      <alignment horizontal="right" indent="1"/>
    </xf>
    <xf numFmtId="164" fontId="1" fillId="2" borderId="14" xfId="1" applyNumberFormat="1" applyFont="1" applyFill="1" applyBorder="1" applyAlignment="1">
      <alignment horizontal="right" indent="1"/>
    </xf>
    <xf numFmtId="0" fontId="10" fillId="5" borderId="16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wrapText="1"/>
    </xf>
    <xf numFmtId="14" fontId="1" fillId="2" borderId="12" xfId="0" applyNumberFormat="1" applyFont="1" applyFill="1" applyBorder="1" applyAlignment="1">
      <alignment horizontal="center" wrapText="1"/>
    </xf>
    <xf numFmtId="164" fontId="0" fillId="2" borderId="11" xfId="1" applyNumberFormat="1" applyFont="1" applyFill="1" applyBorder="1" applyAlignment="1">
      <alignment horizontal="right" indent="1"/>
    </xf>
    <xf numFmtId="37" fontId="1" fillId="0" borderId="15" xfId="0" applyNumberFormat="1" applyFont="1" applyBorder="1" applyAlignment="1">
      <alignment horizontal="center" wrapText="1"/>
    </xf>
    <xf numFmtId="0" fontId="9" fillId="0" borderId="18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37" fontId="1" fillId="0" borderId="23" xfId="0" applyNumberFormat="1" applyFont="1" applyBorder="1" applyAlignment="1">
      <alignment horizontal="center" wrapText="1"/>
    </xf>
    <xf numFmtId="37" fontId="1" fillId="3" borderId="16" xfId="0" applyNumberFormat="1" applyFont="1" applyFill="1" applyBorder="1" applyAlignment="1">
      <alignment horizontal="center" wrapText="1"/>
    </xf>
    <xf numFmtId="164" fontId="9" fillId="4" borderId="11" xfId="1" applyNumberFormat="1" applyFont="1" applyFill="1" applyBorder="1" applyAlignment="1">
      <alignment horizontal="right" indent="1"/>
    </xf>
    <xf numFmtId="164" fontId="1" fillId="0" borderId="2" xfId="1" applyNumberFormat="1" applyFont="1" applyBorder="1"/>
    <xf numFmtId="164" fontId="0" fillId="0" borderId="0" xfId="1" applyNumberFormat="1" applyFont="1" applyAlignment="1">
      <alignment horizontal="right"/>
    </xf>
    <xf numFmtId="164" fontId="0" fillId="2" borderId="11" xfId="1" applyNumberFormat="1" applyFont="1" applyFill="1" applyBorder="1" applyAlignment="1">
      <alignment horizontal="right"/>
    </xf>
    <xf numFmtId="164" fontId="1" fillId="0" borderId="4" xfId="1" applyNumberFormat="1" applyFont="1" applyBorder="1"/>
    <xf numFmtId="37" fontId="0" fillId="0" borderId="9" xfId="0" applyNumberFormat="1" applyBorder="1" applyAlignment="1">
      <alignment horizontal="center"/>
    </xf>
    <xf numFmtId="0" fontId="9" fillId="5" borderId="11" xfId="0" quotePrefix="1" applyFont="1" applyFill="1" applyBorder="1" applyAlignment="1">
      <alignment horizontal="center" wrapText="1"/>
    </xf>
    <xf numFmtId="3" fontId="9" fillId="0" borderId="0" xfId="0" applyNumberFormat="1" applyFont="1" applyAlignment="1">
      <alignment horizontal="right" indent="1"/>
    </xf>
    <xf numFmtId="0" fontId="9" fillId="0" borderId="0" xfId="0" applyFont="1" applyAlignment="1">
      <alignment horizontal="right" indent="1"/>
    </xf>
    <xf numFmtId="164" fontId="9" fillId="0" borderId="0" xfId="1" applyNumberFormat="1" applyFont="1" applyAlignment="1">
      <alignment horizontal="right"/>
    </xf>
    <xf numFmtId="164" fontId="9" fillId="0" borderId="0" xfId="1" applyNumberFormat="1" applyFont="1" applyAlignment="1">
      <alignment horizontal="center"/>
    </xf>
    <xf numFmtId="164" fontId="9" fillId="0" borderId="0" xfId="1" applyNumberFormat="1" applyFont="1" applyAlignment="1">
      <alignment horizontal="right" indent="1"/>
    </xf>
    <xf numFmtId="37" fontId="0" fillId="0" borderId="24" xfId="0" applyNumberFormat="1" applyBorder="1"/>
    <xf numFmtId="37" fontId="0" fillId="0" borderId="24" xfId="0" applyNumberFormat="1" applyBorder="1" applyAlignment="1">
      <alignment horizontal="center"/>
    </xf>
    <xf numFmtId="37" fontId="0" fillId="0" borderId="25" xfId="0" applyNumberFormat="1" applyBorder="1"/>
    <xf numFmtId="37" fontId="0" fillId="0" borderId="25" xfId="0" applyNumberFormat="1" applyBorder="1" applyAlignment="1">
      <alignment horizontal="center"/>
    </xf>
    <xf numFmtId="9" fontId="0" fillId="0" borderId="0" xfId="2" applyFont="1"/>
    <xf numFmtId="37" fontId="0" fillId="0" borderId="8" xfId="0" applyNumberFormat="1" applyBorder="1" applyAlignment="1">
      <alignment horizontal="right"/>
    </xf>
    <xf numFmtId="9" fontId="0" fillId="0" borderId="0" xfId="2" applyFont="1" applyAlignment="1">
      <alignment horizontal="center"/>
    </xf>
    <xf numFmtId="37" fontId="11" fillId="0" borderId="0" xfId="0" applyNumberFormat="1" applyFont="1"/>
    <xf numFmtId="37" fontId="0" fillId="0" borderId="0" xfId="0" applyNumberFormat="1" applyAlignment="1">
      <alignment horizontal="left"/>
    </xf>
    <xf numFmtId="37" fontId="0" fillId="0" borderId="8" xfId="0" applyNumberFormat="1" applyBorder="1"/>
    <xf numFmtId="5" fontId="0" fillId="0" borderId="0" xfId="0" applyNumberFormat="1"/>
    <xf numFmtId="0" fontId="12" fillId="0" borderId="0" xfId="0" applyFont="1" applyAlignment="1">
      <alignment horizontal="right"/>
    </xf>
    <xf numFmtId="164" fontId="0" fillId="0" borderId="0" xfId="1" applyNumberFormat="1" applyFont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164" fontId="4" fillId="0" borderId="0" xfId="1" applyNumberFormat="1" applyFont="1"/>
    <xf numFmtId="164" fontId="0" fillId="0" borderId="0" xfId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 applyAlignment="1">
      <alignment horizontal="left" indent="1"/>
    </xf>
    <xf numFmtId="37" fontId="1" fillId="0" borderId="0" xfId="0" applyNumberFormat="1" applyFont="1"/>
    <xf numFmtId="0" fontId="14" fillId="0" borderId="0" xfId="3"/>
    <xf numFmtId="164" fontId="9" fillId="0" borderId="0" xfId="1" applyNumberFormat="1" applyFont="1" applyFill="1" applyAlignment="1">
      <alignment horizontal="right" indent="1"/>
    </xf>
    <xf numFmtId="164" fontId="0" fillId="0" borderId="26" xfId="1" applyNumberFormat="1" applyFont="1" applyBorder="1" applyAlignment="1">
      <alignment horizontal="center"/>
    </xf>
    <xf numFmtId="164" fontId="15" fillId="0" borderId="0" xfId="1" applyNumberFormat="1" applyFont="1"/>
    <xf numFmtId="0" fontId="0" fillId="0" borderId="17" xfId="0" applyBorder="1"/>
    <xf numFmtId="164" fontId="0" fillId="0" borderId="0" xfId="1" applyNumberFormat="1" applyFont="1" applyFill="1"/>
    <xf numFmtId="164" fontId="0" fillId="6" borderId="0" xfId="1" applyNumberFormat="1" applyFont="1" applyFill="1"/>
    <xf numFmtId="0" fontId="0" fillId="0" borderId="0" xfId="0" applyAlignment="1">
      <alignment horizontal="left" indent="1"/>
    </xf>
    <xf numFmtId="164" fontId="1" fillId="6" borderId="0" xfId="1" applyNumberFormat="1" applyFont="1" applyFill="1"/>
    <xf numFmtId="164" fontId="0" fillId="0" borderId="8" xfId="1" applyNumberFormat="1" applyFont="1" applyBorder="1"/>
    <xf numFmtId="164" fontId="0" fillId="6" borderId="8" xfId="1" applyNumberFormat="1" applyFont="1" applyFill="1" applyBorder="1"/>
    <xf numFmtId="164" fontId="1" fillId="6" borderId="8" xfId="1" applyNumberFormat="1" applyFont="1" applyFill="1" applyBorder="1"/>
    <xf numFmtId="0" fontId="0" fillId="6" borderId="0" xfId="0" applyFill="1"/>
    <xf numFmtId="164" fontId="0" fillId="0" borderId="17" xfId="0" applyNumberFormat="1" applyBorder="1"/>
    <xf numFmtId="164" fontId="0" fillId="0" borderId="17" xfId="1" applyNumberFormat="1" applyFont="1" applyBorder="1"/>
    <xf numFmtId="0" fontId="0" fillId="0" borderId="0" xfId="0" applyAlignment="1">
      <alignment horizontal="left"/>
    </xf>
    <xf numFmtId="164" fontId="0" fillId="0" borderId="26" xfId="1" applyNumberFormat="1" applyFont="1" applyFill="1" applyBorder="1" applyAlignment="1">
      <alignment horizontal="center"/>
    </xf>
    <xf numFmtId="164" fontId="0" fillId="0" borderId="8" xfId="1" applyNumberFormat="1" applyFont="1" applyFill="1" applyBorder="1"/>
    <xf numFmtId="0" fontId="1" fillId="0" borderId="0" xfId="0" applyFont="1"/>
    <xf numFmtId="166" fontId="1" fillId="0" borderId="0" xfId="4" applyNumberFormat="1" applyFont="1"/>
    <xf numFmtId="164" fontId="0" fillId="0" borderId="0" xfId="1" applyNumberFormat="1" applyFont="1" applyBorder="1" applyAlignment="1">
      <alignment horizontal="center"/>
    </xf>
    <xf numFmtId="164" fontId="0" fillId="0" borderId="24" xfId="1" applyNumberFormat="1" applyFont="1" applyBorder="1" applyAlignment="1">
      <alignment horizontal="center"/>
    </xf>
    <xf numFmtId="164" fontId="0" fillId="0" borderId="29" xfId="1" applyNumberFormat="1" applyFont="1" applyBorder="1" applyAlignment="1">
      <alignment horizontal="center"/>
    </xf>
    <xf numFmtId="164" fontId="0" fillId="0" borderId="19" xfId="1" quotePrefix="1" applyNumberFormat="1" applyFont="1" applyBorder="1" applyAlignment="1">
      <alignment horizontal="center"/>
    </xf>
    <xf numFmtId="164" fontId="0" fillId="0" borderId="25" xfId="1" quotePrefix="1" applyNumberFormat="1" applyFont="1" applyBorder="1" applyAlignment="1">
      <alignment horizontal="center"/>
    </xf>
    <xf numFmtId="164" fontId="0" fillId="0" borderId="17" xfId="1" quotePrefix="1" applyNumberFormat="1" applyFont="1" applyBorder="1" applyAlignment="1"/>
    <xf numFmtId="164" fontId="0" fillId="0" borderId="20" xfId="1" quotePrefix="1" applyNumberFormat="1" applyFont="1" applyBorder="1" applyAlignment="1">
      <alignment horizontal="center"/>
    </xf>
    <xf numFmtId="0" fontId="0" fillId="0" borderId="19" xfId="1" quotePrefix="1" applyNumberFormat="1" applyFont="1" applyBorder="1" applyAlignment="1"/>
    <xf numFmtId="37" fontId="0" fillId="0" borderId="8" xfId="0" applyNumberFormat="1" applyBorder="1" applyAlignment="1">
      <alignment horizontal="center"/>
    </xf>
    <xf numFmtId="37" fontId="12" fillId="0" borderId="0" xfId="0" applyNumberFormat="1" applyFont="1" applyAlignment="1">
      <alignment horizontal="right"/>
    </xf>
    <xf numFmtId="37" fontId="0" fillId="0" borderId="9" xfId="0" quotePrefix="1" applyNumberFormat="1" applyBorder="1" applyAlignment="1">
      <alignment horizontal="center"/>
    </xf>
    <xf numFmtId="37" fontId="0" fillId="3" borderId="6" xfId="0" applyNumberFormat="1" applyFill="1" applyBorder="1" applyAlignment="1">
      <alignment horizontal="center" wrapText="1"/>
    </xf>
    <xf numFmtId="164" fontId="0" fillId="3" borderId="0" xfId="1" applyNumberFormat="1" applyFont="1" applyFill="1" applyAlignment="1">
      <alignment horizontal="right" indent="1"/>
    </xf>
    <xf numFmtId="164" fontId="1" fillId="3" borderId="2" xfId="1" applyNumberFormat="1" applyFont="1" applyFill="1" applyBorder="1" applyAlignment="1">
      <alignment horizontal="right" indent="1"/>
    </xf>
    <xf numFmtId="164" fontId="1" fillId="3" borderId="4" xfId="1" applyNumberFormat="1" applyFont="1" applyFill="1" applyBorder="1" applyAlignment="1">
      <alignment horizontal="right" indent="1"/>
    </xf>
    <xf numFmtId="37" fontId="1" fillId="0" borderId="2" xfId="0" applyNumberFormat="1" applyFont="1" applyBorder="1" applyAlignment="1">
      <alignment horizontal="center"/>
    </xf>
    <xf numFmtId="37" fontId="1" fillId="0" borderId="28" xfId="0" applyNumberFormat="1" applyFont="1" applyBorder="1" applyAlignment="1">
      <alignment horizontal="center"/>
    </xf>
    <xf numFmtId="37" fontId="3" fillId="3" borderId="6" xfId="0" applyNumberFormat="1" applyFont="1" applyFill="1" applyBorder="1" applyAlignment="1">
      <alignment horizontal="center" vertical="center"/>
    </xf>
    <xf numFmtId="164" fontId="9" fillId="3" borderId="0" xfId="1" applyNumberFormat="1" applyFont="1" applyFill="1" applyAlignment="1">
      <alignment horizontal="right" indent="1"/>
    </xf>
    <xf numFmtId="37" fontId="1" fillId="0" borderId="26" xfId="0" applyNumberFormat="1" applyFont="1" applyBorder="1" applyAlignment="1">
      <alignment horizontal="center"/>
    </xf>
    <xf numFmtId="164" fontId="1" fillId="6" borderId="17" xfId="0" applyNumberFormat="1" applyFont="1" applyFill="1" applyBorder="1"/>
    <xf numFmtId="164" fontId="1" fillId="6" borderId="0" xfId="0" applyNumberFormat="1" applyFont="1" applyFill="1"/>
    <xf numFmtId="43" fontId="0" fillId="0" borderId="0" xfId="0" applyNumberFormat="1"/>
    <xf numFmtId="164" fontId="1" fillId="0" borderId="0" xfId="0" applyNumberFormat="1" applyFont="1" applyAlignment="1">
      <alignment horizontal="right" indent="1"/>
    </xf>
    <xf numFmtId="14" fontId="1" fillId="0" borderId="0" xfId="0" applyNumberFormat="1" applyFont="1" applyAlignment="1">
      <alignment horizontal="center" wrapText="1"/>
    </xf>
    <xf numFmtId="37" fontId="3" fillId="2" borderId="1" xfId="0" applyNumberFormat="1" applyFont="1" applyFill="1" applyBorder="1" applyAlignment="1">
      <alignment horizontal="center" vertical="center"/>
    </xf>
    <xf numFmtId="37" fontId="11" fillId="0" borderId="0" xfId="0" applyNumberFormat="1" applyFont="1" applyAlignment="1">
      <alignment horizontal="left" wrapText="1"/>
    </xf>
    <xf numFmtId="14" fontId="1" fillId="3" borderId="6" xfId="0" applyNumberFormat="1" applyFont="1" applyFill="1" applyBorder="1" applyAlignment="1">
      <alignment horizontal="center" wrapText="1"/>
    </xf>
    <xf numFmtId="14" fontId="1" fillId="3" borderId="0" xfId="0" applyNumberFormat="1" applyFont="1" applyFill="1" applyAlignment="1">
      <alignment horizontal="center" wrapText="1"/>
    </xf>
    <xf numFmtId="164" fontId="9" fillId="3" borderId="0" xfId="1" applyNumberFormat="1" applyFont="1" applyFill="1" applyAlignment="1">
      <alignment horizontal="center"/>
    </xf>
    <xf numFmtId="37" fontId="0" fillId="0" borderId="0" xfId="0" quotePrefix="1" applyNumberFormat="1"/>
    <xf numFmtId="5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164" fontId="0" fillId="0" borderId="0" xfId="1" applyNumberFormat="1" applyFont="1" applyAlignment="1">
      <alignment horizontal="right" indent="1"/>
    </xf>
    <xf numFmtId="5" fontId="0" fillId="0" borderId="26" xfId="0" applyNumberFormat="1" applyBorder="1" applyAlignment="1">
      <alignment horizontal="center"/>
    </xf>
    <xf numFmtId="37" fontId="0" fillId="0" borderId="26" xfId="0" applyNumberFormat="1" applyBorder="1" applyAlignment="1">
      <alignment horizontal="center"/>
    </xf>
    <xf numFmtId="164" fontId="4" fillId="0" borderId="0" xfId="1" applyNumberFormat="1" applyFont="1" applyAlignment="1">
      <alignment horizontal="right" indent="1"/>
    </xf>
    <xf numFmtId="0" fontId="0" fillId="0" borderId="0" xfId="0" pivotButton="1"/>
    <xf numFmtId="164" fontId="1" fillId="0" borderId="0" xfId="1" applyNumberFormat="1" applyFont="1" applyFill="1" applyBorder="1" applyAlignment="1">
      <alignment horizontal="right" indent="1"/>
    </xf>
    <xf numFmtId="164" fontId="9" fillId="0" borderId="0" xfId="1" applyNumberFormat="1" applyFont="1" applyFill="1" applyAlignment="1">
      <alignment horizontal="center"/>
    </xf>
    <xf numFmtId="164" fontId="0" fillId="0" borderId="31" xfId="1" applyNumberFormat="1" applyFont="1" applyBorder="1" applyAlignment="1">
      <alignment horizontal="right" indent="1"/>
    </xf>
    <xf numFmtId="167" fontId="0" fillId="0" borderId="0" xfId="2" applyNumberFormat="1" applyFont="1"/>
    <xf numFmtId="164" fontId="1" fillId="0" borderId="2" xfId="1" applyNumberFormat="1" applyFont="1" applyBorder="1" applyAlignment="1">
      <alignment horizontal="right" indent="1"/>
    </xf>
    <xf numFmtId="0" fontId="3" fillId="0" borderId="0" xfId="0" applyFont="1" applyAlignment="1">
      <alignment horizontal="left"/>
    </xf>
    <xf numFmtId="164" fontId="0" fillId="0" borderId="0" xfId="1" applyNumberFormat="1" applyFont="1" applyFill="1" applyAlignment="1"/>
    <xf numFmtId="37" fontId="1" fillId="0" borderId="2" xfId="1" applyNumberFormat="1" applyFont="1" applyFill="1" applyBorder="1" applyAlignment="1"/>
    <xf numFmtId="164" fontId="1" fillId="0" borderId="2" xfId="1" applyNumberFormat="1" applyFont="1" applyFill="1" applyBorder="1" applyAlignment="1"/>
    <xf numFmtId="37" fontId="0" fillId="0" borderId="0" xfId="1" applyNumberFormat="1" applyFont="1" applyFill="1" applyAlignment="1"/>
    <xf numFmtId="37" fontId="1" fillId="0" borderId="4" xfId="1" applyNumberFormat="1" applyFont="1" applyFill="1" applyBorder="1" applyAlignment="1"/>
    <xf numFmtId="164" fontId="1" fillId="0" borderId="4" xfId="1" applyNumberFormat="1" applyFont="1" applyFill="1" applyBorder="1" applyAlignment="1"/>
    <xf numFmtId="37" fontId="1" fillId="0" borderId="0" xfId="0" applyNumberFormat="1" applyFont="1" applyAlignment="1">
      <alignment horizontal="left" wrapText="1"/>
    </xf>
    <xf numFmtId="4" fontId="0" fillId="0" borderId="0" xfId="0" applyNumberFormat="1"/>
    <xf numFmtId="168" fontId="0" fillId="0" borderId="0" xfId="1" applyNumberFormat="1" applyFont="1" applyAlignment="1"/>
    <xf numFmtId="0" fontId="10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37" fontId="1" fillId="0" borderId="21" xfId="0" applyNumberFormat="1" applyFont="1" applyBorder="1" applyAlignment="1">
      <alignment horizontal="center"/>
    </xf>
    <xf numFmtId="37" fontId="1" fillId="0" borderId="8" xfId="0" applyNumberFormat="1" applyFont="1" applyBorder="1" applyAlignment="1">
      <alignment horizontal="center"/>
    </xf>
    <xf numFmtId="37" fontId="1" fillId="0" borderId="10" xfId="0" applyNumberFormat="1" applyFont="1" applyBorder="1" applyAlignment="1">
      <alignment horizontal="center"/>
    </xf>
    <xf numFmtId="37" fontId="1" fillId="0" borderId="19" xfId="0" applyNumberFormat="1" applyFont="1" applyBorder="1" applyAlignment="1">
      <alignment horizontal="center"/>
    </xf>
    <xf numFmtId="37" fontId="1" fillId="0" borderId="17" xfId="0" applyNumberFormat="1" applyFont="1" applyBorder="1" applyAlignment="1">
      <alignment horizontal="center"/>
    </xf>
    <xf numFmtId="37" fontId="1" fillId="0" borderId="22" xfId="0" applyNumberFormat="1" applyFont="1" applyBorder="1" applyAlignment="1">
      <alignment horizontal="center"/>
    </xf>
    <xf numFmtId="37" fontId="1" fillId="0" borderId="0" xfId="0" applyNumberFormat="1" applyFont="1" applyAlignment="1">
      <alignment horizontal="center"/>
    </xf>
    <xf numFmtId="37" fontId="1" fillId="0" borderId="20" xfId="0" applyNumberFormat="1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37" fontId="1" fillId="0" borderId="27" xfId="0" applyNumberFormat="1" applyFont="1" applyBorder="1" applyAlignment="1">
      <alignment horizontal="center"/>
    </xf>
    <xf numFmtId="37" fontId="1" fillId="0" borderId="2" xfId="0" applyNumberFormat="1" applyFont="1" applyBorder="1" applyAlignment="1">
      <alignment horizontal="center"/>
    </xf>
    <xf numFmtId="164" fontId="0" fillId="0" borderId="27" xfId="1" applyNumberFormat="1" applyFont="1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164" fontId="0" fillId="0" borderId="28" xfId="1" applyNumberFormat="1" applyFont="1" applyBorder="1" applyAlignment="1">
      <alignment horizontal="center"/>
    </xf>
    <xf numFmtId="164" fontId="0" fillId="0" borderId="26" xfId="1" applyNumberFormat="1" applyFont="1" applyBorder="1" applyAlignment="1">
      <alignment horizontal="center"/>
    </xf>
    <xf numFmtId="164" fontId="0" fillId="0" borderId="21" xfId="1" applyNumberFormat="1" applyFont="1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164" fontId="0" fillId="0" borderId="30" xfId="1" applyNumberFormat="1" applyFont="1" applyBorder="1" applyAlignment="1">
      <alignment horizontal="center"/>
    </xf>
  </cellXfs>
  <cellStyles count="5">
    <cellStyle name="Comma" xfId="1" builtinId="3"/>
    <cellStyle name="Currency" xfId="4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30480</xdr:rowOff>
    </xdr:from>
    <xdr:to>
      <xdr:col>1</xdr:col>
      <xdr:colOff>380678</xdr:colOff>
      <xdr:row>2</xdr:row>
      <xdr:rowOff>22860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F67AE8-052F-4F22-8DE3-596121DB7F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0480"/>
          <a:ext cx="2079938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30480</xdr:rowOff>
    </xdr:from>
    <xdr:to>
      <xdr:col>1</xdr:col>
      <xdr:colOff>121598</xdr:colOff>
      <xdr:row>2</xdr:row>
      <xdr:rowOff>22860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1345BF-0E8D-4EBC-AAB2-C0109DD41D8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0480"/>
          <a:ext cx="2095178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30480</xdr:rowOff>
    </xdr:from>
    <xdr:to>
      <xdr:col>1</xdr:col>
      <xdr:colOff>441638</xdr:colOff>
      <xdr:row>2</xdr:row>
      <xdr:rowOff>22860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E72A67-9201-410E-ACA6-99422B3CA7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0480"/>
          <a:ext cx="2087558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30480</xdr:rowOff>
    </xdr:from>
    <xdr:to>
      <xdr:col>1</xdr:col>
      <xdr:colOff>319718</xdr:colOff>
      <xdr:row>2</xdr:row>
      <xdr:rowOff>22860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674AFF-3271-44C9-9A5E-4E0BBC42AAE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0480"/>
          <a:ext cx="2087558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99060</xdr:rowOff>
    </xdr:from>
    <xdr:to>
      <xdr:col>10</xdr:col>
      <xdr:colOff>525780</xdr:colOff>
      <xdr:row>3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AFA8071-5243-AD7B-DB09-16CB1A4B8531}"/>
            </a:ext>
          </a:extLst>
        </xdr:cNvPr>
        <xdr:cNvSpPr txBox="1"/>
      </xdr:nvSpPr>
      <xdr:spPr>
        <a:xfrm>
          <a:off x="83820" y="99060"/>
          <a:ext cx="6545580" cy="4495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1)</a:t>
          </a:r>
          <a:r>
            <a:rPr lang="en-US" sz="1100" baseline="0"/>
            <a:t> Beginning base budget for Undesignated and Designated is based on the final base budget allocation memo issued (#23-08).  Fees are based on new estimates for the year.</a:t>
          </a:r>
        </a:p>
        <a:p>
          <a:endParaRPr lang="en-US" sz="1100" baseline="0"/>
        </a:p>
        <a:p>
          <a:endParaRPr lang="en-US" sz="1100" baseline="0"/>
        </a:p>
        <a:p>
          <a:endParaRPr 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30480</xdr:rowOff>
    </xdr:from>
    <xdr:to>
      <xdr:col>1</xdr:col>
      <xdr:colOff>319718</xdr:colOff>
      <xdr:row>2</xdr:row>
      <xdr:rowOff>22860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B531D6-7B11-440A-A8EB-45CDA67E5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0480"/>
          <a:ext cx="2079938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30480</xdr:rowOff>
    </xdr:from>
    <xdr:ext cx="2078668" cy="656590"/>
    <xdr:pic>
      <xdr:nvPicPr>
        <xdr:cNvPr id="2" name="Picture 1">
          <a:extLst>
            <a:ext uri="{FF2B5EF4-FFF2-40B4-BE49-F238E27FC236}">
              <a16:creationId xmlns:a16="http://schemas.microsoft.com/office/drawing/2014/main" id="{24E42B79-3BA6-4541-9671-34C1368F8DC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0480"/>
          <a:ext cx="2078668" cy="65659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30480</xdr:rowOff>
    </xdr:from>
    <xdr:to>
      <xdr:col>0</xdr:col>
      <xdr:colOff>2125658</xdr:colOff>
      <xdr:row>2</xdr:row>
      <xdr:rowOff>22860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31DF28-44DD-416C-82C9-C994AC77FBE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0480"/>
          <a:ext cx="2087558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30480</xdr:rowOff>
    </xdr:from>
    <xdr:to>
      <xdr:col>1</xdr:col>
      <xdr:colOff>512123</xdr:colOff>
      <xdr:row>2</xdr:row>
      <xdr:rowOff>22860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B1FC9E-CE3D-4EC8-ABC4-0943DBABA4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0480"/>
          <a:ext cx="2079938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30480</xdr:rowOff>
    </xdr:from>
    <xdr:to>
      <xdr:col>0</xdr:col>
      <xdr:colOff>2061523</xdr:colOff>
      <xdr:row>2</xdr:row>
      <xdr:rowOff>34925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BD002A-D60D-4D1E-83EF-59B5C408FEA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0480"/>
          <a:ext cx="2023423" cy="6565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30480</xdr:rowOff>
    </xdr:from>
    <xdr:to>
      <xdr:col>0</xdr:col>
      <xdr:colOff>2123118</xdr:colOff>
      <xdr:row>2</xdr:row>
      <xdr:rowOff>22860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F92B92-2FE6-494B-BC4E-8F8015107AC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0480"/>
          <a:ext cx="2087558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76200</xdr:rowOff>
    </xdr:from>
    <xdr:to>
      <xdr:col>2</xdr:col>
      <xdr:colOff>508812</xdr:colOff>
      <xdr:row>3</xdr:row>
      <xdr:rowOff>179891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513713-3057-4A54-B6CA-2729C03784E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465" y="76200"/>
          <a:ext cx="2084247" cy="65233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30480</xdr:rowOff>
    </xdr:from>
    <xdr:ext cx="2078668" cy="656590"/>
    <xdr:pic>
      <xdr:nvPicPr>
        <xdr:cNvPr id="2" name="Picture 1">
          <a:extLst>
            <a:ext uri="{FF2B5EF4-FFF2-40B4-BE49-F238E27FC236}">
              <a16:creationId xmlns:a16="http://schemas.microsoft.com/office/drawing/2014/main" id="{F24B66DD-3B86-4C47-B5AD-E5C8423F49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0480"/>
          <a:ext cx="2078668" cy="65659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30480</xdr:rowOff>
    </xdr:from>
    <xdr:to>
      <xdr:col>1</xdr:col>
      <xdr:colOff>319718</xdr:colOff>
      <xdr:row>2</xdr:row>
      <xdr:rowOff>22860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49CC75-A9E1-4366-94BA-68411B3AB3F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0480"/>
          <a:ext cx="2087558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ol Lee" refreshedDate="45534.607987152776" createdVersion="8" refreshedVersion="8" minRefreshableVersion="3" recordCount="80" xr:uid="{75B96BF4-F18B-4810-AE98-63BB662E61D5}">
  <cacheSource type="worksheet">
    <worksheetSource ref="A23:E103" sheet="Attachment K - PCR"/>
  </cacheSource>
  <cacheFields count="5">
    <cacheField name="Fund" numFmtId="0">
      <sharedItems count="6">
        <s v="PCR01 - COST RECOVERY-INTERNAL SOURCES"/>
        <s v="PCR02 - COST RECOVERY-EXTERNAL SOURCES"/>
        <s v="PCR03 - FACULTY RELEASE TIME"/>
        <s v="PCR04 - ACAD FACILITY SPACE RENTAL"/>
        <s v="PCR06 - FILM &amp; PHOTO SHOOT SPACE RNTL"/>
        <s v="PCR07 - CAPITAL PROJECT MANAGEMENT"/>
      </sharedItems>
    </cacheField>
    <cacheField name="Division" numFmtId="37">
      <sharedItems count="8">
        <s v="Academic Affairs"/>
        <s v="Admin Affairs"/>
        <s v="IT&amp;IP"/>
        <s v="Presidents Office"/>
        <s v="Student Affairs"/>
        <s v="Univ Adv"/>
        <s v="Pres Office" u="1"/>
        <s v="PCIA" u="1"/>
      </sharedItems>
    </cacheField>
    <cacheField name="Dept ID" numFmtId="37">
      <sharedItems/>
    </cacheField>
    <cacheField name="Original Class" numFmtId="37">
      <sharedItems/>
    </cacheField>
    <cacheField name="Est. Budget" numFmtId="0">
      <sharedItems containsSemiMixedTypes="0" containsString="0" containsNumber="1" containsInteger="1" minValue="680" maxValue="290207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0">
  <r>
    <x v="0"/>
    <x v="0"/>
    <s v="20000 - VP Academic Affairs Office"/>
    <s v="00000 - No Class Value"/>
    <n v="15338"/>
  </r>
  <r>
    <x v="0"/>
    <x v="0"/>
    <s v="20001 - VP Academic Affs Instructional"/>
    <s v="00000 - No Class Value"/>
    <n v="2902073"/>
  </r>
  <r>
    <x v="0"/>
    <x v="0"/>
    <s v="30200 - Theatre and New Dance"/>
    <s v="TX107 - RENT OF FACILITIES-THEATRE"/>
    <n v="3414"/>
  </r>
  <r>
    <x v="0"/>
    <x v="0"/>
    <s v="30700 - Music"/>
    <s v="00000 - No Class Value"/>
    <n v="2960"/>
  </r>
  <r>
    <x v="0"/>
    <x v="0"/>
    <s v="48400 - Architecture"/>
    <s v="C3194 - Laser Cutting"/>
    <n v="3353"/>
  </r>
  <r>
    <x v="0"/>
    <x v="0"/>
    <s v="48400 - Architecture"/>
    <s v="C3195 - 3D Printing - Plastic"/>
    <n v="3052"/>
  </r>
  <r>
    <x v="0"/>
    <x v="0"/>
    <s v="48400 - Architecture"/>
    <s v="C3196 - 3D Printing - Powder"/>
    <n v="680"/>
  </r>
  <r>
    <x v="0"/>
    <x v="0"/>
    <s v="55400 - Ethnic &amp; Women's Studies"/>
    <s v="00000 - No Class Value"/>
    <n v="2075"/>
  </r>
  <r>
    <x v="0"/>
    <x v="0"/>
    <s v="55800 - Library"/>
    <s v="00000 - No Class Value"/>
    <n v="2684"/>
  </r>
  <r>
    <x v="0"/>
    <x v="0"/>
    <s v="63700 - AVP Enrollment Mgmt &amp; Services"/>
    <s v="00000 - No Class Value"/>
    <n v="145001"/>
  </r>
  <r>
    <x v="0"/>
    <x v="1"/>
    <s v="67400 - VP Administrative Affs Office"/>
    <s v="00000 - No Class Value"/>
    <n v="544406"/>
  </r>
  <r>
    <x v="0"/>
    <x v="1"/>
    <s v="67700 - Accounting Services"/>
    <s v="00000 - No Class Value"/>
    <n v="155101"/>
  </r>
  <r>
    <x v="0"/>
    <x v="1"/>
    <s v="67700 - Accounting Services"/>
    <s v="TX008 - Univ Acctg"/>
    <n v="844336"/>
  </r>
  <r>
    <x v="0"/>
    <x v="1"/>
    <s v="67900 - Student Aid Accting &amp; Cashiers"/>
    <s v="00000 - No Class Value"/>
    <n v="273131"/>
  </r>
  <r>
    <x v="0"/>
    <x v="1"/>
    <s v="69100 - Graphics Communications"/>
    <s v="C5005 - Print Mimeo"/>
    <n v="95043"/>
  </r>
  <r>
    <x v="0"/>
    <x v="1"/>
    <s v="69300 - Distribution Services"/>
    <s v="00000 - No Class Value"/>
    <n v="26985"/>
  </r>
  <r>
    <x v="0"/>
    <x v="1"/>
    <s v="70100 - Events and Recycling"/>
    <s v="00000 - No Class Value"/>
    <n v="63922"/>
  </r>
  <r>
    <x v="0"/>
    <x v="1"/>
    <s v="70800 - Motorpool"/>
    <s v="00000 - No Class Value"/>
    <n v="283456"/>
  </r>
  <r>
    <x v="0"/>
    <x v="1"/>
    <s v="71063 - Facilities I POLY"/>
    <s v="00000 - No Class Value"/>
    <n v="225563"/>
  </r>
  <r>
    <x v="0"/>
    <x v="1"/>
    <s v="71100 - HVAC"/>
    <s v="00000 - No Class Value"/>
    <n v="20496"/>
  </r>
  <r>
    <x v="0"/>
    <x v="1"/>
    <s v="71201 - Electrical Shop"/>
    <s v="00000 - No Class Value"/>
    <n v="116025"/>
  </r>
  <r>
    <x v="0"/>
    <x v="1"/>
    <s v="71202 - Plumbing Shop"/>
    <s v="00000 - No Class Value"/>
    <n v="45678"/>
  </r>
  <r>
    <x v="0"/>
    <x v="1"/>
    <s v="71204 - Paint Shop"/>
    <s v="00000 - No Class Value"/>
    <n v="80029"/>
  </r>
  <r>
    <x v="0"/>
    <x v="1"/>
    <s v="71205 - Lock Shop"/>
    <s v="00000 - No Class Value"/>
    <n v="24625"/>
  </r>
  <r>
    <x v="0"/>
    <x v="1"/>
    <s v="71300 - Landscape Services"/>
    <s v="00000 - No Class Value"/>
    <n v="117128"/>
  </r>
  <r>
    <x v="0"/>
    <x v="1"/>
    <s v="71360 - Facilities-Landscape MOU's"/>
    <s v="00000 - No Class Value"/>
    <n v="1082676"/>
  </r>
  <r>
    <x v="0"/>
    <x v="1"/>
    <s v="71400 - Custodial Services"/>
    <s v="00000 - No Class Value"/>
    <n v="4541"/>
  </r>
  <r>
    <x v="0"/>
    <x v="1"/>
    <s v="71501 - Carpenter Shop"/>
    <s v="00000 - No Class Value"/>
    <n v="231669"/>
  </r>
  <r>
    <x v="0"/>
    <x v="1"/>
    <s v="71504 - Project Coordination"/>
    <s v="00000 - No Class Value"/>
    <n v="251780"/>
  </r>
  <r>
    <x v="0"/>
    <x v="1"/>
    <s v="72100 - Procurement Office"/>
    <s v="00000 - No Class Value"/>
    <n v="177645"/>
  </r>
  <r>
    <x v="0"/>
    <x v="1"/>
    <s v="72300 - Facilities Management"/>
    <s v="00000 - No Class Value"/>
    <n v="181838"/>
  </r>
  <r>
    <x v="0"/>
    <x v="1"/>
    <s v="72675 - Police Officers RE MOU"/>
    <s v="00000 - No Class Value"/>
    <n v="575019"/>
  </r>
  <r>
    <x v="0"/>
    <x v="1"/>
    <s v="72678 - Dispatcher  RE MOU"/>
    <s v="00000 - No Class Value"/>
    <n v="96601"/>
  </r>
  <r>
    <x v="0"/>
    <x v="1"/>
    <s v="72679 - CSO RE MOU"/>
    <s v="00000 - No Class Value"/>
    <n v="233897"/>
  </r>
  <r>
    <x v="0"/>
    <x v="1"/>
    <s v="75000 - Budget Planning &amp; Analysis"/>
    <s v="00000 - No Class Value"/>
    <n v="68201"/>
  </r>
  <r>
    <x v="0"/>
    <x v="1"/>
    <s v="96000 - Energy Services"/>
    <s v="00000 - No Class Value"/>
    <n v="38349"/>
  </r>
  <r>
    <x v="0"/>
    <x v="2"/>
    <s v="34063 - Institutional Technology"/>
    <s v="00000 - No Class Value"/>
    <n v="484899"/>
  </r>
  <r>
    <x v="0"/>
    <x v="2"/>
    <s v="34063 - Institutional Technology"/>
    <s v="C5150 - Production Services Funds"/>
    <n v="680"/>
  </r>
  <r>
    <x v="0"/>
    <x v="2"/>
    <s v="34063 - Institutional Technology"/>
    <s v="C5200 - Auxiliary CB"/>
    <n v="825580"/>
  </r>
  <r>
    <x v="0"/>
    <x v="2"/>
    <s v="34063 - Institutional Technology"/>
    <s v="C5210 - Network Auxiliary"/>
    <n v="41149"/>
  </r>
  <r>
    <x v="0"/>
    <x v="2"/>
    <s v="34063 - Institutional Technology"/>
    <s v="C5211 - IT NETWORKS"/>
    <n v="114240"/>
  </r>
  <r>
    <x v="0"/>
    <x v="2"/>
    <s v="34063 - Institutional Technology"/>
    <s v="C5212 - IT CLASSROOM TECH"/>
    <n v="198113"/>
  </r>
  <r>
    <x v="0"/>
    <x v="2"/>
    <s v="34063 - Institutional Technology"/>
    <s v="C5213 - DIGITAL SIGNAGE"/>
    <n v="22856"/>
  </r>
  <r>
    <x v="0"/>
    <x v="2"/>
    <s v="34063 - Institutional Technology"/>
    <s v="C5230 - Computer Bulk Buy"/>
    <n v="1088228"/>
  </r>
  <r>
    <x v="0"/>
    <x v="2"/>
    <s v="34063 - Institutional Technology"/>
    <s v="C5240 - MOU Specific AA"/>
    <n v="761785"/>
  </r>
  <r>
    <x v="0"/>
    <x v="2"/>
    <s v="34063 - Institutional Technology"/>
    <s v="C5300 - Support Services Funds"/>
    <n v="276179"/>
  </r>
  <r>
    <x v="0"/>
    <x v="3"/>
    <s v="69600 - Payroll &amp; Benefits Services"/>
    <s v="00000 - No Class Value"/>
    <n v="82528"/>
  </r>
  <r>
    <x v="0"/>
    <x v="3"/>
    <s v="69710 - Classification &amp; Compensation"/>
    <s v="00000 - No Class Value"/>
    <n v="15924"/>
  </r>
  <r>
    <x v="0"/>
    <x v="3"/>
    <s v="69720 - Organizational Excellence"/>
    <s v="00000 - No Class Value"/>
    <n v="39618"/>
  </r>
  <r>
    <x v="0"/>
    <x v="3"/>
    <s v="69730 - Talent Acquis &amp; Divers Outrch"/>
    <s v="00000 - No Class Value"/>
    <n v="30163"/>
  </r>
  <r>
    <x v="0"/>
    <x v="3"/>
    <s v="69740 - Empl &amp; Labor Relations &amp; Compl"/>
    <s v="00000 - No Class Value"/>
    <n v="61345"/>
  </r>
  <r>
    <x v="0"/>
    <x v="3"/>
    <s v="73700 - President's Office"/>
    <s v="00000 - No Class Value"/>
    <n v="185311"/>
  </r>
  <r>
    <x v="0"/>
    <x v="4"/>
    <s v="61500 - Student Aff Divisional Reserve"/>
    <s v="00000 - No Class Value"/>
    <n v="592345"/>
  </r>
  <r>
    <x v="0"/>
    <x v="5"/>
    <s v="74300 - VP Univ Advancement Office"/>
    <s v="00000 - No Class Value"/>
    <n v="102497"/>
  </r>
  <r>
    <x v="1"/>
    <x v="0"/>
    <s v="48700 - Art Gallery"/>
    <s v="00000 - No Class Value"/>
    <n v="41438"/>
  </r>
  <r>
    <x v="1"/>
    <x v="0"/>
    <s v="50200 - Geological Sciences"/>
    <s v="00000 - No Class Value"/>
    <n v="20250"/>
  </r>
  <r>
    <x v="1"/>
    <x v="0"/>
    <s v="55800 - Library"/>
    <s v="00000 - No Class Value"/>
    <n v="29841"/>
  </r>
  <r>
    <x v="1"/>
    <x v="0"/>
    <s v="55800 - Library"/>
    <s v="C3188 - I-POLY Lease"/>
    <n v="7835"/>
  </r>
  <r>
    <x v="1"/>
    <x v="0"/>
    <s v="63400 - Registrar's"/>
    <s v="00000 - No Class Value"/>
    <n v="6549"/>
  </r>
  <r>
    <x v="1"/>
    <x v="1"/>
    <s v="72672 - Police-FND"/>
    <s v="00000 - No Class Value"/>
    <n v="1263"/>
  </r>
  <r>
    <x v="1"/>
    <x v="2"/>
    <s v="34063 - Institutional Technology"/>
    <s v="C5200 - Auxiliary CB"/>
    <n v="583652"/>
  </r>
  <r>
    <x v="1"/>
    <x v="3"/>
    <s v="74200 - Strategic Communications"/>
    <s v="00000 - No Class Value"/>
    <n v="11422"/>
  </r>
  <r>
    <x v="1"/>
    <x v="5"/>
    <s v="74500 - Annual Fund"/>
    <s v="00000 - No Class Value"/>
    <n v="15521"/>
  </r>
  <r>
    <x v="1"/>
    <x v="5"/>
    <s v="74600 - Development"/>
    <s v="00000 - No Class Value"/>
    <n v="105209"/>
  </r>
  <r>
    <x v="1"/>
    <x v="5"/>
    <s v="74800 - Univ Advancement Services"/>
    <s v="00000 - No Class Value"/>
    <n v="127192"/>
  </r>
  <r>
    <x v="2"/>
    <x v="0"/>
    <s v="44662 - Engineering-Ext Cost Rec"/>
    <s v="G0155 - Fndamantel Study Calcium Sulph"/>
    <n v="74397"/>
  </r>
  <r>
    <x v="2"/>
    <x v="0"/>
    <s v="49861 - College of Sci.-Ext Cost Rec"/>
    <s v="G0225 - NIH T32 Bridges"/>
    <n v="9708"/>
  </r>
  <r>
    <x v="2"/>
    <x v="0"/>
    <s v="44662 - Engineering-Ext Cost Rec"/>
    <s v="G0375 - CPP INVESTS"/>
    <n v="20826"/>
  </r>
  <r>
    <x v="2"/>
    <x v="0"/>
    <s v="62600 - Disability Resource Center"/>
    <s v="G1220 - Arches Grant - Student Support"/>
    <n v="125040"/>
  </r>
  <r>
    <x v="2"/>
    <x v="4"/>
    <s v="64200 - CARE Services"/>
    <s v="G8180 - Cal Fresh"/>
    <n v="42689"/>
  </r>
  <r>
    <x v="2"/>
    <x v="0"/>
    <s v="49861 - College of Sci.-Ext Cost Rec"/>
    <s v="G8670 - Project CAMINOS"/>
    <n v="37106"/>
  </r>
  <r>
    <x v="2"/>
    <x v="0"/>
    <s v="54369 - CEIS Education Ext Cost Rec"/>
    <s v="G8680 - LOGRAR"/>
    <n v="55635"/>
  </r>
  <r>
    <x v="2"/>
    <x v="0"/>
    <s v="49861 - College of Sci.-Ext Cost Rec"/>
    <s v="G8910 - Subcellular-Molecular Players"/>
    <n v="14605"/>
  </r>
  <r>
    <x v="2"/>
    <x v="0"/>
    <s v="49862 - College of Sci.-Ext Cost Rec"/>
    <s v="G9290 - BOEM-MARINe"/>
    <n v="11789"/>
  </r>
  <r>
    <x v="3"/>
    <x v="1"/>
    <s v="72010 - Event Venues &amp; Meeting Spaces"/>
    <s v="TX105 - RENT OF FACILITIES-FAC MGMT"/>
    <n v="33420"/>
  </r>
  <r>
    <x v="3"/>
    <x v="1"/>
    <s v="72010 - Event Venues &amp; Meeting Spaces"/>
    <s v="TX106 - RENT OF FACILITIES-PRKG SVCS"/>
    <n v="6270"/>
  </r>
  <r>
    <x v="3"/>
    <x v="1"/>
    <s v="72010 - Event Venues &amp; Meeting Spaces"/>
    <s v="TX110 - LoF - Rental of Facilities"/>
    <n v="32091"/>
  </r>
  <r>
    <x v="3"/>
    <x v="1"/>
    <s v="72010 - Event Venues &amp; Meeting Spaces"/>
    <s v="TX112 - RENT OF FACILITIES-ATHLETICS"/>
    <n v="14179"/>
  </r>
  <r>
    <x v="4"/>
    <x v="1"/>
    <s v="72010 - Event Venues &amp; Meeting Spaces"/>
    <s v="TX116 - FILMING AND PHOTO SHOOTS"/>
    <n v="14744"/>
  </r>
  <r>
    <x v="5"/>
    <x v="1"/>
    <s v="96264 - Project Management"/>
    <s v="00000 - No Class Value"/>
    <n v="6415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97E9296-FF4C-4C84-9367-7A8FCBC6FF2B}" name="PivotTable4" cacheId="0" applyNumberFormats="0" applyBorderFormats="0" applyFontFormats="0" applyPatternFormats="0" applyAlignmentFormats="0" applyWidthHeightFormats="1" dataCaption="Values" updatedVersion="8" minRefreshableVersion="3" itemPrintTitles="1" createdVersion="8" indent="0" outline="1" outlineData="1" multipleFieldFilters="0">
  <location ref="A110:H118" firstHeaderRow="1" firstDataRow="2" firstDataCol="1"/>
  <pivotFields count="5">
    <pivotField axis="axisCol"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9">
        <item m="1" x="6"/>
        <item m="1" x="7"/>
        <item x="3"/>
        <item x="0"/>
        <item x="1"/>
        <item x="2"/>
        <item x="4"/>
        <item x="5"/>
        <item t="default"/>
      </items>
    </pivotField>
    <pivotField showAll="0"/>
    <pivotField showAll="0"/>
    <pivotField dataField="1" showAll="0"/>
  </pivotFields>
  <rowFields count="1">
    <field x="1"/>
  </rowFields>
  <rowItems count="7"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0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 of Est. Budget" fld="4" baseField="1" baseItem="4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:x:/r/sites/budget1/Shared%20Documents/BP%26A/Cost%20Recovery/FY24-25/FY24-25%20Cost%20Recovery%20Spending%20Plan%20-%20Proposed.xlsx?d=w2e673a52d5d24383a5efec9792efddc2&amp;csf=1&amp;web=1&amp;e=0V7l6T" TargetMode="Externa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:x:/r/sites/budget1/_layouts/15/Doc.aspx?sourcedoc=%7B2247AF74-08C8-463D-9C3C-B0C72C51D839%7D&amp;file=2024.06.30%20budget%20vs.%20actual%20(Tableau%20Final)%20-%20Reserve%20Balances%20by%20Designation.xlsx&amp;wdOrigin=TEAMS-MAGLEV.p2p_ns.rwc&amp;action=default&amp;mobileredirect=true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%2324-01/:x:/r/sites/budget1/_layouts/15/Doc.aspx?sourcedoc=%7B10C1D3D3-3F55-4722-8E38-A8DDBDB6EBE1%7D&amp;file=HR%20PSN%20Listing%20-%20Crosstab%20as%20of%202024-07-01%202024-08-19.xlsx&amp;wdOrigin=TEAMS-MAGLEV.p2p_ns.rwc&amp;action=default&amp;mobileredirect=true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4674B-65B6-4F53-B6E4-6015E7667324}">
  <sheetPr>
    <tabColor rgb="FFFFC000"/>
    <pageSetUpPr fitToPage="1"/>
  </sheetPr>
  <dimension ref="A1:M44"/>
  <sheetViews>
    <sheetView workbookViewId="0">
      <selection activeCell="C1" sqref="C1"/>
    </sheetView>
  </sheetViews>
  <sheetFormatPr defaultColWidth="8.85546875" defaultRowHeight="15" x14ac:dyDescent="0.25"/>
  <cols>
    <col min="1" max="1" width="25.28515625" style="2" customWidth="1"/>
    <col min="2" max="3" width="13.85546875" style="1" customWidth="1"/>
    <col min="4" max="4" width="13" style="1" customWidth="1"/>
    <col min="5" max="5" width="15" style="1" customWidth="1"/>
    <col min="6" max="6" width="13.28515625" style="1" customWidth="1"/>
    <col min="7" max="7" width="14.85546875" style="1" customWidth="1"/>
    <col min="8" max="8" width="14.5703125" style="1" customWidth="1"/>
    <col min="9" max="9" width="14.140625" style="1" customWidth="1"/>
    <col min="10" max="10" width="14.42578125" style="1" customWidth="1"/>
    <col min="11" max="11" width="15.28515625" style="1" customWidth="1"/>
    <col min="12" max="12" width="14.28515625" style="2" customWidth="1"/>
    <col min="13" max="13" width="11" style="2" bestFit="1" customWidth="1"/>
    <col min="14" max="14" width="22.85546875" style="2" bestFit="1" customWidth="1"/>
    <col min="15" max="16" width="19.42578125" style="2" customWidth="1"/>
    <col min="17" max="17" width="31.85546875" style="2" customWidth="1"/>
    <col min="18" max="16384" width="8.85546875" style="2"/>
  </cols>
  <sheetData>
    <row r="1" spans="1:13" ht="25.9" customHeight="1" x14ac:dyDescent="0.4">
      <c r="A1" s="3"/>
      <c r="H1" s="26"/>
      <c r="I1" s="26"/>
      <c r="J1" s="26"/>
      <c r="K1" s="26"/>
      <c r="M1" s="27"/>
    </row>
    <row r="2" spans="1:13" ht="25.9" customHeight="1" x14ac:dyDescent="0.3">
      <c r="A2" s="3"/>
      <c r="H2" s="6"/>
      <c r="I2" s="6"/>
      <c r="J2" s="6"/>
      <c r="K2" s="6"/>
      <c r="L2" s="28"/>
      <c r="M2" s="28"/>
    </row>
    <row r="3" spans="1:13" ht="18.75" customHeight="1" x14ac:dyDescent="0.3">
      <c r="A3" s="3" t="s">
        <v>0</v>
      </c>
      <c r="I3" s="6"/>
      <c r="J3" s="6" t="s">
        <v>1</v>
      </c>
      <c r="M3" s="28"/>
    </row>
    <row r="4" spans="1:13" ht="20.100000000000001" customHeight="1" x14ac:dyDescent="0.3">
      <c r="A4" s="17">
        <v>45527</v>
      </c>
      <c r="L4" s="29"/>
      <c r="M4" s="29"/>
    </row>
    <row r="5" spans="1:13" x14ac:dyDescent="0.25">
      <c r="B5" s="160" t="s">
        <v>2</v>
      </c>
      <c r="C5" s="161"/>
      <c r="D5" s="161"/>
      <c r="E5" s="162"/>
      <c r="F5" s="157" t="s">
        <v>3</v>
      </c>
      <c r="G5" s="158"/>
      <c r="H5" s="159"/>
      <c r="I5" s="48" t="s">
        <v>4</v>
      </c>
      <c r="J5" s="48" t="s">
        <v>5</v>
      </c>
      <c r="K5" s="2"/>
    </row>
    <row r="6" spans="1:13" x14ac:dyDescent="0.25">
      <c r="B6" s="163" t="s">
        <v>6</v>
      </c>
      <c r="C6" s="164"/>
      <c r="D6" s="164"/>
      <c r="E6" s="165"/>
      <c r="F6" s="46"/>
      <c r="G6" s="47" t="s">
        <v>6</v>
      </c>
      <c r="H6" s="49"/>
      <c r="I6" s="49" t="s">
        <v>6</v>
      </c>
      <c r="J6" s="49" t="s">
        <v>7</v>
      </c>
      <c r="K6" s="2"/>
    </row>
    <row r="7" spans="1:13" x14ac:dyDescent="0.25">
      <c r="B7" s="1">
        <v>-1</v>
      </c>
      <c r="C7" s="1">
        <v>-2</v>
      </c>
      <c r="D7" s="1">
        <v>-3</v>
      </c>
      <c r="E7" s="30"/>
      <c r="F7" s="114" t="s">
        <v>8</v>
      </c>
      <c r="G7" s="36" t="s">
        <v>9</v>
      </c>
      <c r="H7" s="50"/>
      <c r="I7" s="59"/>
      <c r="J7" s="37"/>
      <c r="K7" s="2"/>
    </row>
    <row r="8" spans="1:13" ht="49.15" customHeight="1" thickBot="1" x14ac:dyDescent="0.3">
      <c r="A8" s="4"/>
      <c r="B8" s="5" t="s">
        <v>10</v>
      </c>
      <c r="C8" s="5" t="s">
        <v>11</v>
      </c>
      <c r="D8" s="5" t="s">
        <v>12</v>
      </c>
      <c r="E8" s="31" t="s">
        <v>13</v>
      </c>
      <c r="F8" s="51" t="s">
        <v>14</v>
      </c>
      <c r="G8" s="45" t="s">
        <v>15</v>
      </c>
      <c r="H8" s="52" t="s">
        <v>16</v>
      </c>
      <c r="I8" s="41" t="s">
        <v>17</v>
      </c>
      <c r="J8" s="41" t="s">
        <v>7</v>
      </c>
      <c r="K8" s="2"/>
    </row>
    <row r="9" spans="1:13" ht="19.149999999999999" customHeight="1" x14ac:dyDescent="0.25">
      <c r="A9" s="14"/>
      <c r="B9" s="14"/>
      <c r="C9" s="14"/>
      <c r="D9" s="14"/>
      <c r="E9" s="43"/>
      <c r="F9" s="32"/>
      <c r="G9" s="42"/>
      <c r="H9" s="38" t="s">
        <v>18</v>
      </c>
      <c r="I9" s="38" t="s">
        <v>19</v>
      </c>
      <c r="J9" s="38"/>
      <c r="K9" s="2"/>
    </row>
    <row r="10" spans="1:13" ht="17.45" customHeight="1" x14ac:dyDescent="0.25">
      <c r="A10" s="25" t="s">
        <v>20</v>
      </c>
      <c r="B10" s="7">
        <v>10107467</v>
      </c>
      <c r="C10" s="7"/>
      <c r="D10" s="7">
        <f>-179850</f>
        <v>-179850</v>
      </c>
      <c r="E10" s="44">
        <f t="shared" ref="E10:E15" si="0">SUM(B10:D10)</f>
        <v>9927617</v>
      </c>
      <c r="F10" s="7">
        <f>+'Attachment B - Desig Base'!B9</f>
        <v>101311</v>
      </c>
      <c r="G10" s="7">
        <f>+'Attachment B - Desig Base'!C9</f>
        <v>0</v>
      </c>
      <c r="H10" s="53">
        <f>SUM(F10:G10)</f>
        <v>101311</v>
      </c>
      <c r="I10" s="53">
        <f>+'Attachment C - Fees Base'!I9</f>
        <v>0</v>
      </c>
      <c r="J10" s="53">
        <f>+E10+H10+I10</f>
        <v>10028928</v>
      </c>
      <c r="K10" s="2"/>
    </row>
    <row r="11" spans="1:13" ht="17.45" customHeight="1" x14ac:dyDescent="0.25">
      <c r="A11" s="25" t="s">
        <v>21</v>
      </c>
      <c r="B11" s="7">
        <v>123676668</v>
      </c>
      <c r="C11" s="7"/>
      <c r="D11" s="7">
        <v>-51228</v>
      </c>
      <c r="E11" s="44">
        <f t="shared" si="0"/>
        <v>123625440</v>
      </c>
      <c r="F11" s="7">
        <f>+'Attachment B - Desig Base'!B10</f>
        <v>15147974</v>
      </c>
      <c r="G11" s="7">
        <f>+'Attachment B - Desig Base'!C10</f>
        <v>0</v>
      </c>
      <c r="H11" s="53">
        <f t="shared" ref="H11:H18" si="1">SUM(F11:G11)</f>
        <v>15147974</v>
      </c>
      <c r="I11" s="53">
        <f>+'Attachment C - Fees Base'!I10</f>
        <v>6480872</v>
      </c>
      <c r="J11" s="53">
        <f t="shared" ref="J11:J18" si="2">+E11+H11+I11</f>
        <v>145254286</v>
      </c>
      <c r="K11" s="2"/>
    </row>
    <row r="12" spans="1:13" ht="17.45" customHeight="1" x14ac:dyDescent="0.25">
      <c r="A12" s="25" t="s">
        <v>22</v>
      </c>
      <c r="B12" s="7">
        <v>22420177</v>
      </c>
      <c r="C12" s="7">
        <v>-500000</v>
      </c>
      <c r="D12" s="7">
        <v>89448</v>
      </c>
      <c r="E12" s="44">
        <f t="shared" si="0"/>
        <v>22009625</v>
      </c>
      <c r="F12" s="7" t="str">
        <f>+'Attachment B - Desig Base'!B11</f>
        <v xml:space="preserve"> -   </v>
      </c>
      <c r="G12" s="7">
        <f>+'Attachment B - Desig Base'!C11</f>
        <v>0</v>
      </c>
      <c r="H12" s="53">
        <f t="shared" si="1"/>
        <v>0</v>
      </c>
      <c r="I12" s="53">
        <f>+'Attachment C - Fees Base'!I11</f>
        <v>2686</v>
      </c>
      <c r="J12" s="53">
        <f t="shared" si="2"/>
        <v>22012311</v>
      </c>
      <c r="K12" s="2"/>
    </row>
    <row r="13" spans="1:13" ht="17.45" customHeight="1" x14ac:dyDescent="0.25">
      <c r="A13" s="25" t="s">
        <v>23</v>
      </c>
      <c r="B13" s="7">
        <v>13145910</v>
      </c>
      <c r="C13" s="7"/>
      <c r="D13" s="7"/>
      <c r="E13" s="44">
        <f t="shared" si="0"/>
        <v>13145910</v>
      </c>
      <c r="F13" s="7">
        <f>+'Attachment B - Desig Base'!B12</f>
        <v>112304</v>
      </c>
      <c r="G13" s="7">
        <f>+'Attachment B - Desig Base'!C12</f>
        <v>0</v>
      </c>
      <c r="H13" s="53">
        <f t="shared" si="1"/>
        <v>112304</v>
      </c>
      <c r="I13" s="53">
        <f>+'Attachment C - Fees Base'!I12</f>
        <v>3043961</v>
      </c>
      <c r="J13" s="53">
        <f t="shared" si="2"/>
        <v>16302175</v>
      </c>
      <c r="K13" s="2"/>
    </row>
    <row r="14" spans="1:13" ht="17.45" customHeight="1" x14ac:dyDescent="0.25">
      <c r="A14" s="25" t="s">
        <v>24</v>
      </c>
      <c r="B14" s="7">
        <v>8210231</v>
      </c>
      <c r="C14" s="7"/>
      <c r="D14" s="7">
        <f>-89448-4476+51228</f>
        <v>-42696</v>
      </c>
      <c r="E14" s="44">
        <f t="shared" si="0"/>
        <v>8167535</v>
      </c>
      <c r="F14" s="7">
        <f>+'Attachment B - Desig Base'!B13</f>
        <v>4904714</v>
      </c>
      <c r="G14" s="7">
        <f>+'Attachment B - Desig Base'!C13</f>
        <v>-31000</v>
      </c>
      <c r="H14" s="53">
        <f t="shared" si="1"/>
        <v>4873714</v>
      </c>
      <c r="I14" s="53">
        <f>+'Attachment C - Fees Base'!I13</f>
        <v>12823043</v>
      </c>
      <c r="J14" s="53">
        <f t="shared" si="2"/>
        <v>25864292</v>
      </c>
      <c r="K14" s="2"/>
    </row>
    <row r="15" spans="1:13" ht="17.45" customHeight="1" x14ac:dyDescent="0.25">
      <c r="A15" s="25" t="s">
        <v>25</v>
      </c>
      <c r="B15" s="7">
        <v>4581810</v>
      </c>
      <c r="C15" s="7"/>
      <c r="D15" s="7">
        <v>179850</v>
      </c>
      <c r="E15" s="44">
        <f t="shared" si="0"/>
        <v>4761660</v>
      </c>
      <c r="F15" s="7" t="str">
        <f>+'Attachment B - Desig Base'!B14</f>
        <v xml:space="preserve"> -   </v>
      </c>
      <c r="G15" s="7">
        <f>+'Attachment B - Desig Base'!C14</f>
        <v>0</v>
      </c>
      <c r="H15" s="53">
        <f t="shared" si="1"/>
        <v>0</v>
      </c>
      <c r="I15" s="53">
        <f>+'Attachment C - Fees Base'!I14</f>
        <v>335935</v>
      </c>
      <c r="J15" s="53">
        <f t="shared" si="2"/>
        <v>5097595</v>
      </c>
      <c r="K15" s="2"/>
    </row>
    <row r="16" spans="1:13" ht="17.45" customHeight="1" x14ac:dyDescent="0.25">
      <c r="A16" s="54" t="s">
        <v>26</v>
      </c>
      <c r="B16" s="8">
        <f t="shared" ref="B16:H16" si="3">SUM(B10:B15)</f>
        <v>182142263</v>
      </c>
      <c r="C16" s="8">
        <f t="shared" si="3"/>
        <v>-500000</v>
      </c>
      <c r="D16" s="8">
        <f t="shared" si="3"/>
        <v>-4476</v>
      </c>
      <c r="E16" s="39">
        <f t="shared" si="3"/>
        <v>181637787</v>
      </c>
      <c r="F16" s="8">
        <f t="shared" si="3"/>
        <v>20266303</v>
      </c>
      <c r="G16" s="8">
        <f t="shared" si="3"/>
        <v>-31000</v>
      </c>
      <c r="H16" s="39">
        <f t="shared" si="3"/>
        <v>20235303</v>
      </c>
      <c r="I16" s="39">
        <f t="shared" ref="I16" si="4">SUM(I10:I15)</f>
        <v>22686497</v>
      </c>
      <c r="J16" s="39">
        <f>SUM(J10:J15)</f>
        <v>224559587</v>
      </c>
      <c r="K16" s="2"/>
    </row>
    <row r="17" spans="1:11" ht="17.45" customHeight="1" x14ac:dyDescent="0.25">
      <c r="A17" s="25" t="s">
        <v>27</v>
      </c>
      <c r="B17" s="55">
        <f>39759409-50000</f>
        <v>39709409</v>
      </c>
      <c r="C17" s="55"/>
      <c r="D17" s="55">
        <v>726000</v>
      </c>
      <c r="E17" s="56">
        <f>SUM(B17:D17)</f>
        <v>40435409</v>
      </c>
      <c r="F17" s="55">
        <f>+'Attachment B - Desig Base'!B16</f>
        <v>0</v>
      </c>
      <c r="G17" s="55">
        <f>+'Attachment B - Desig Base'!C16</f>
        <v>0</v>
      </c>
      <c r="H17" s="53">
        <f t="shared" si="1"/>
        <v>0</v>
      </c>
      <c r="I17" s="53">
        <f>+'Attachment C - Fees Base'!I16</f>
        <v>392837</v>
      </c>
      <c r="J17" s="53">
        <f t="shared" si="2"/>
        <v>40828246</v>
      </c>
      <c r="K17" s="2"/>
    </row>
    <row r="18" spans="1:11" ht="17.45" customHeight="1" x14ac:dyDescent="0.25">
      <c r="A18" s="25" t="s">
        <v>28</v>
      </c>
      <c r="B18" s="7">
        <f>117314225+50000</f>
        <v>117364225</v>
      </c>
      <c r="C18" s="7">
        <f>500000</f>
        <v>500000</v>
      </c>
      <c r="D18" s="7">
        <f>4476+6626750</f>
        <v>6631226</v>
      </c>
      <c r="E18" s="44">
        <f>SUM(B18:D18)</f>
        <v>124495451</v>
      </c>
      <c r="F18" s="7">
        <f>+'Attachment B - Desig Base'!B17</f>
        <v>7979497</v>
      </c>
      <c r="G18" s="55">
        <f>+'Attachment B - Desig Base'!C17</f>
        <v>0</v>
      </c>
      <c r="H18" s="53">
        <f t="shared" si="1"/>
        <v>7979497</v>
      </c>
      <c r="I18" s="53">
        <f>+'Attachment C - Fees Base'!I17</f>
        <v>2177261</v>
      </c>
      <c r="J18" s="53">
        <f t="shared" si="2"/>
        <v>134652209</v>
      </c>
      <c r="K18" s="33"/>
    </row>
    <row r="19" spans="1:11" ht="18" customHeight="1" thickBot="1" x14ac:dyDescent="0.3">
      <c r="A19" s="57" t="s">
        <v>29</v>
      </c>
      <c r="B19" s="11">
        <f>SUM(B16:B18)</f>
        <v>339215897</v>
      </c>
      <c r="C19" s="11">
        <f>SUM(C16:C18)</f>
        <v>0</v>
      </c>
      <c r="D19" s="11">
        <f>SUM(D16:D18)</f>
        <v>7352750</v>
      </c>
      <c r="E19" s="40">
        <f t="shared" ref="E19" si="5">SUM(E16:E18)</f>
        <v>346568647</v>
      </c>
      <c r="F19" s="11">
        <f t="shared" ref="F19:I19" si="6">SUM(F16:F18)</f>
        <v>28245800</v>
      </c>
      <c r="G19" s="11">
        <f t="shared" si="6"/>
        <v>-31000</v>
      </c>
      <c r="H19" s="40">
        <f t="shared" si="6"/>
        <v>28214800</v>
      </c>
      <c r="I19" s="40">
        <f t="shared" si="6"/>
        <v>25256595</v>
      </c>
      <c r="J19" s="40">
        <f t="shared" ref="J19" si="7">SUM(J16:J18)</f>
        <v>400040042</v>
      </c>
      <c r="K19" s="2"/>
    </row>
    <row r="20" spans="1:11" x14ac:dyDescent="0.25">
      <c r="A20" s="35"/>
    </row>
    <row r="21" spans="1:11" x14ac:dyDescent="0.25">
      <c r="A21" s="2" t="s">
        <v>30</v>
      </c>
    </row>
    <row r="22" spans="1:11" x14ac:dyDescent="0.25">
      <c r="A22" s="2" t="s">
        <v>31</v>
      </c>
    </row>
    <row r="23" spans="1:11" x14ac:dyDescent="0.25">
      <c r="A23" s="2" t="s">
        <v>32</v>
      </c>
    </row>
    <row r="24" spans="1:11" x14ac:dyDescent="0.25">
      <c r="A24" s="2" t="s">
        <v>33</v>
      </c>
    </row>
    <row r="25" spans="1:11" x14ac:dyDescent="0.25">
      <c r="A25" s="2" t="s">
        <v>34</v>
      </c>
    </row>
    <row r="26" spans="1:11" x14ac:dyDescent="0.25">
      <c r="A26" s="2" t="s">
        <v>35</v>
      </c>
    </row>
    <row r="27" spans="1:11" x14ac:dyDescent="0.25">
      <c r="A27" s="2" t="s">
        <v>36</v>
      </c>
    </row>
    <row r="28" spans="1:11" x14ac:dyDescent="0.25">
      <c r="A28" s="2" t="s">
        <v>37</v>
      </c>
    </row>
    <row r="29" spans="1:11" x14ac:dyDescent="0.25">
      <c r="A29" s="2" t="s">
        <v>460</v>
      </c>
    </row>
    <row r="30" spans="1:11" x14ac:dyDescent="0.25">
      <c r="A30" s="2" t="s">
        <v>39</v>
      </c>
      <c r="G30" s="18"/>
    </row>
    <row r="31" spans="1:11" x14ac:dyDescent="0.25">
      <c r="A31" s="2" t="s">
        <v>40</v>
      </c>
      <c r="G31" s="18"/>
    </row>
    <row r="32" spans="1:11" x14ac:dyDescent="0.25">
      <c r="G32" s="18"/>
    </row>
    <row r="43" ht="13.9" customHeight="1" x14ac:dyDescent="0.25"/>
    <row r="44" ht="13.9" customHeight="1" x14ac:dyDescent="0.25"/>
  </sheetData>
  <mergeCells count="3">
    <mergeCell ref="F5:H5"/>
    <mergeCell ref="B5:E5"/>
    <mergeCell ref="B6:E6"/>
  </mergeCells>
  <printOptions horizontalCentered="1"/>
  <pageMargins left="0.5" right="0.5" top="0.5" bottom="0.5" header="0.3" footer="0.3"/>
  <pageSetup scale="84" orientation="landscape" r:id="rId1"/>
  <headerFooter>
    <oddFooter>&amp;L&amp;8&amp;D&amp;C&amp;8&amp;P&amp;R&amp;8&amp;A</oddFooter>
  </headerFooter>
  <ignoredErrors>
    <ignoredError sqref="E16 H16" formula="1"/>
    <ignoredError sqref="F7:G7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3F194-11A9-4D03-9E8F-89ABF1B25B7F}">
  <sheetPr>
    <tabColor rgb="FFFFC000"/>
    <pageSetUpPr fitToPage="1"/>
  </sheetPr>
  <dimension ref="A1:E19"/>
  <sheetViews>
    <sheetView workbookViewId="0">
      <selection activeCell="D18" sqref="D18"/>
    </sheetView>
  </sheetViews>
  <sheetFormatPr defaultColWidth="8.85546875" defaultRowHeight="15" x14ac:dyDescent="0.25"/>
  <cols>
    <col min="1" max="1" width="29.28515625" style="2" customWidth="1"/>
    <col min="2" max="3" width="12.28515625" style="1" customWidth="1"/>
    <col min="4" max="4" width="13.42578125" style="1" customWidth="1"/>
    <col min="5" max="5" width="13.7109375" style="1" customWidth="1"/>
    <col min="6" max="17" width="14" style="2" customWidth="1"/>
    <col min="18" max="16384" width="8.85546875" style="2"/>
  </cols>
  <sheetData>
    <row r="1" spans="1:5" ht="25.9" customHeight="1" x14ac:dyDescent="0.4">
      <c r="A1" s="3"/>
      <c r="E1" s="26"/>
    </row>
    <row r="2" spans="1:5" ht="25.9" customHeight="1" x14ac:dyDescent="0.3">
      <c r="A2" s="3"/>
    </row>
    <row r="3" spans="1:5" ht="18.75" customHeight="1" x14ac:dyDescent="0.3">
      <c r="A3" s="3" t="s">
        <v>330</v>
      </c>
      <c r="E3" s="6" t="str">
        <f>+'Attachment A - Base'!J3</f>
        <v>BPA #24-01R</v>
      </c>
    </row>
    <row r="4" spans="1:5" ht="20.100000000000001" customHeight="1" x14ac:dyDescent="0.25">
      <c r="A4" s="17">
        <f>+'Attachment A - Base'!A4</f>
        <v>45527</v>
      </c>
    </row>
    <row r="5" spans="1:5" x14ac:dyDescent="0.25">
      <c r="B5" s="83"/>
      <c r="C5" s="83"/>
      <c r="D5" s="83"/>
      <c r="E5" s="83"/>
    </row>
    <row r="6" spans="1:5" x14ac:dyDescent="0.25">
      <c r="D6" s="1">
        <v>-1</v>
      </c>
      <c r="E6" s="19"/>
    </row>
    <row r="7" spans="1:5" ht="60.75" thickBot="1" x14ac:dyDescent="0.3">
      <c r="A7" s="4"/>
      <c r="B7" s="5" t="s">
        <v>331</v>
      </c>
      <c r="C7" s="5" t="s">
        <v>332</v>
      </c>
      <c r="D7" s="5" t="s">
        <v>333</v>
      </c>
      <c r="E7" s="20" t="s">
        <v>267</v>
      </c>
    </row>
    <row r="8" spans="1:5" ht="19.149999999999999" customHeight="1" x14ac:dyDescent="0.25">
      <c r="A8" s="14"/>
      <c r="B8" s="16"/>
      <c r="C8" s="16"/>
      <c r="D8" s="16"/>
      <c r="E8" s="21"/>
    </row>
    <row r="9" spans="1:5" ht="19.149999999999999" customHeight="1" x14ac:dyDescent="0.25">
      <c r="A9" s="2" t="s">
        <v>20</v>
      </c>
      <c r="B9" s="7"/>
      <c r="C9" s="7"/>
      <c r="D9" s="7">
        <v>1447</v>
      </c>
      <c r="E9" s="22">
        <f t="shared" ref="E9:E14" si="0">SUM(B9:D9)</f>
        <v>1447</v>
      </c>
    </row>
    <row r="10" spans="1:5" ht="19.149999999999999" customHeight="1" x14ac:dyDescent="0.25">
      <c r="A10" s="2" t="s">
        <v>21</v>
      </c>
      <c r="B10" s="7">
        <v>43833</v>
      </c>
      <c r="C10" s="7">
        <v>6688</v>
      </c>
      <c r="D10" s="7">
        <v>374858</v>
      </c>
      <c r="E10" s="22">
        <f t="shared" si="0"/>
        <v>425379</v>
      </c>
    </row>
    <row r="11" spans="1:5" ht="19.149999999999999" customHeight="1" x14ac:dyDescent="0.25">
      <c r="A11" s="2" t="s">
        <v>22</v>
      </c>
      <c r="B11" s="7"/>
      <c r="C11" s="7"/>
      <c r="D11" s="7"/>
      <c r="E11" s="22">
        <f t="shared" si="0"/>
        <v>0</v>
      </c>
    </row>
    <row r="12" spans="1:5" ht="19.149999999999999" customHeight="1" x14ac:dyDescent="0.25">
      <c r="A12" s="2" t="s">
        <v>23</v>
      </c>
      <c r="B12" s="7"/>
      <c r="C12" s="7"/>
      <c r="D12" s="7">
        <v>889174</v>
      </c>
      <c r="E12" s="22">
        <f t="shared" si="0"/>
        <v>889174</v>
      </c>
    </row>
    <row r="13" spans="1:5" ht="19.149999999999999" customHeight="1" x14ac:dyDescent="0.25">
      <c r="A13" s="2" t="s">
        <v>24</v>
      </c>
      <c r="B13" s="7"/>
      <c r="C13" s="7"/>
      <c r="D13" s="7"/>
      <c r="E13" s="22">
        <f t="shared" si="0"/>
        <v>0</v>
      </c>
    </row>
    <row r="14" spans="1:5" ht="19.149999999999999" customHeight="1" x14ac:dyDescent="0.25">
      <c r="A14" s="2" t="s">
        <v>25</v>
      </c>
      <c r="B14" s="7"/>
      <c r="C14" s="7"/>
      <c r="D14" s="7"/>
      <c r="E14" s="22">
        <f t="shared" si="0"/>
        <v>0</v>
      </c>
    </row>
    <row r="15" spans="1:5" ht="19.149999999999999" customHeight="1" x14ac:dyDescent="0.25">
      <c r="A15" s="9" t="s">
        <v>26</v>
      </c>
      <c r="B15" s="8">
        <f>SUM(B9:B14)</f>
        <v>43833</v>
      </c>
      <c r="C15" s="8">
        <f>SUM(C9:C14)</f>
        <v>6688</v>
      </c>
      <c r="D15" s="8">
        <f t="shared" ref="D15" si="1">SUM(D9:D14)</f>
        <v>1265479</v>
      </c>
      <c r="E15" s="23">
        <f t="shared" ref="E15" si="2">SUM(E9:E14)</f>
        <v>1316000</v>
      </c>
    </row>
    <row r="16" spans="1:5" ht="19.149999999999999" customHeight="1" x14ac:dyDescent="0.25">
      <c r="A16" s="2" t="s">
        <v>334</v>
      </c>
      <c r="B16" s="18"/>
      <c r="C16" s="18"/>
      <c r="D16" s="18">
        <v>53000</v>
      </c>
      <c r="E16" s="22">
        <f>SUM(B16:D16)</f>
        <v>53000</v>
      </c>
    </row>
    <row r="17" spans="1:5" ht="19.149999999999999" customHeight="1" x14ac:dyDescent="0.25">
      <c r="A17" s="2" t="s">
        <v>28</v>
      </c>
      <c r="B17" s="7"/>
      <c r="C17" s="7"/>
      <c r="D17" s="7">
        <f>591479+7650</f>
        <v>599129</v>
      </c>
      <c r="E17" s="22">
        <f>SUM(B17:D17)</f>
        <v>599129</v>
      </c>
    </row>
    <row r="18" spans="1:5" ht="15" customHeight="1" thickBot="1" x14ac:dyDescent="0.3">
      <c r="A18" s="10" t="s">
        <v>29</v>
      </c>
      <c r="B18" s="11">
        <f>SUM(B15:B17)</f>
        <v>43833</v>
      </c>
      <c r="C18" s="11">
        <f>SUM(C15:C17)</f>
        <v>6688</v>
      </c>
      <c r="D18" s="11">
        <f t="shared" ref="D18" si="3">SUM(D15:D17)</f>
        <v>1917608</v>
      </c>
      <c r="E18" s="24">
        <f t="shared" ref="E18" si="4">SUM(E15:E17)</f>
        <v>1968129</v>
      </c>
    </row>
    <row r="19" spans="1:5" ht="15" customHeight="1" x14ac:dyDescent="0.25">
      <c r="A19" s="75" t="s">
        <v>335</v>
      </c>
      <c r="B19" s="12"/>
      <c r="C19" s="12"/>
      <c r="D19" s="12"/>
      <c r="E19" s="13"/>
    </row>
  </sheetData>
  <pageMargins left="0.75" right="0.75" top="0.5" bottom="0.5" header="0.3" footer="0.3"/>
  <pageSetup orientation="landscape" r:id="rId1"/>
  <headerFooter>
    <oddFooter>&amp;L&amp;8&amp;D&amp;C&amp;8&amp;P&amp;R&amp;8&amp;A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880CC-44F6-42D2-AA60-9506A8FCD92F}">
  <sheetPr>
    <tabColor rgb="FFFFC000"/>
    <pageSetUpPr fitToPage="1"/>
  </sheetPr>
  <dimension ref="A1:M122"/>
  <sheetViews>
    <sheetView workbookViewId="0">
      <selection activeCell="D18" sqref="D18"/>
    </sheetView>
  </sheetViews>
  <sheetFormatPr defaultColWidth="8.85546875" defaultRowHeight="15" x14ac:dyDescent="0.25"/>
  <cols>
    <col min="1" max="1" width="41" style="2" customWidth="1"/>
    <col min="2" max="2" width="13.85546875" style="1" customWidth="1"/>
    <col min="3" max="5" width="13.7109375" style="1" customWidth="1"/>
    <col min="6" max="6" width="13.7109375" style="1" hidden="1" customWidth="1"/>
    <col min="7" max="8" width="13.7109375" style="1" customWidth="1"/>
    <col min="9" max="10" width="13.7109375" style="1" hidden="1" customWidth="1"/>
    <col min="11" max="11" width="14" style="2" customWidth="1"/>
    <col min="12" max="12" width="6.85546875" style="2" customWidth="1"/>
    <col min="13" max="13" width="33.7109375" style="73" bestFit="1" customWidth="1"/>
    <col min="14" max="14" width="34.7109375" style="2" bestFit="1" customWidth="1"/>
    <col min="15" max="15" width="32.28515625" style="2" bestFit="1" customWidth="1"/>
    <col min="16" max="16" width="14" style="2" customWidth="1"/>
    <col min="17" max="17" width="7.28515625" style="2" bestFit="1" customWidth="1"/>
    <col min="18" max="18" width="7.5703125" style="2" bestFit="1" customWidth="1"/>
    <col min="19" max="19" width="6.7109375" style="2" bestFit="1" customWidth="1"/>
    <col min="20" max="24" width="14" style="2" customWidth="1"/>
    <col min="25" max="16384" width="8.85546875" style="2"/>
  </cols>
  <sheetData>
    <row r="1" spans="1:13" ht="25.9" customHeight="1" x14ac:dyDescent="0.4">
      <c r="A1" s="3"/>
      <c r="J1" s="26"/>
    </row>
    <row r="2" spans="1:13" ht="25.9" customHeight="1" x14ac:dyDescent="0.3">
      <c r="A2" s="3"/>
    </row>
    <row r="3" spans="1:13" ht="18.75" customHeight="1" x14ac:dyDescent="0.3">
      <c r="A3" s="3" t="s">
        <v>336</v>
      </c>
      <c r="K3" s="6" t="str">
        <f>+'Attachment A - Base'!J3</f>
        <v>BPA #24-01R</v>
      </c>
    </row>
    <row r="4" spans="1:13" ht="20.100000000000001" customHeight="1" x14ac:dyDescent="0.25">
      <c r="A4" s="17">
        <f>+'Attachment A - Base'!A4</f>
        <v>45527</v>
      </c>
    </row>
    <row r="5" spans="1:13" x14ac:dyDescent="0.25">
      <c r="B5" s="166"/>
      <c r="C5" s="166"/>
      <c r="D5" s="166"/>
      <c r="E5" s="166"/>
      <c r="F5" s="166"/>
      <c r="G5" s="166"/>
      <c r="H5" s="166"/>
      <c r="I5" s="166"/>
      <c r="J5" s="166"/>
    </row>
    <row r="6" spans="1:13" x14ac:dyDescent="0.25">
      <c r="K6" s="19"/>
    </row>
    <row r="7" spans="1:13" ht="45.75" thickBot="1" x14ac:dyDescent="0.3">
      <c r="A7" s="4"/>
      <c r="B7" s="5" t="s">
        <v>337</v>
      </c>
      <c r="C7" s="5" t="s">
        <v>338</v>
      </c>
      <c r="D7" s="5" t="s">
        <v>339</v>
      </c>
      <c r="E7" s="5" t="s">
        <v>340</v>
      </c>
      <c r="F7" s="5" t="s">
        <v>341</v>
      </c>
      <c r="G7" s="5" t="s">
        <v>342</v>
      </c>
      <c r="H7" s="5" t="s">
        <v>343</v>
      </c>
      <c r="I7" s="5" t="s">
        <v>344</v>
      </c>
      <c r="J7" s="5" t="s">
        <v>345</v>
      </c>
      <c r="K7" s="20" t="s">
        <v>346</v>
      </c>
    </row>
    <row r="8" spans="1:13" ht="19.149999999999999" customHeight="1" x14ac:dyDescent="0.25">
      <c r="A8" s="14"/>
      <c r="B8" s="16"/>
      <c r="C8" s="16"/>
      <c r="D8" s="16"/>
      <c r="E8" s="16"/>
      <c r="F8" s="16"/>
      <c r="G8" s="16"/>
      <c r="H8" s="16"/>
      <c r="I8" s="16"/>
      <c r="J8" s="16"/>
      <c r="K8" s="21"/>
    </row>
    <row r="9" spans="1:13" ht="19.149999999999999" customHeight="1" x14ac:dyDescent="0.25">
      <c r="A9" s="2" t="s">
        <v>20</v>
      </c>
      <c r="B9" s="2">
        <f t="shared" ref="B9:C14" si="0">B112</f>
        <v>414889</v>
      </c>
      <c r="C9" s="2">
        <f t="shared" si="0"/>
        <v>11422</v>
      </c>
      <c r="D9" s="2"/>
      <c r="E9" s="2"/>
      <c r="F9" s="2"/>
      <c r="G9" s="2"/>
      <c r="H9" s="2"/>
      <c r="I9" s="2"/>
      <c r="J9" s="2"/>
      <c r="K9" s="22">
        <f t="shared" ref="K9:K14" si="1">SUM(B9:J9)</f>
        <v>426311</v>
      </c>
    </row>
    <row r="10" spans="1:13" ht="19.149999999999999" customHeight="1" x14ac:dyDescent="0.25">
      <c r="A10" s="2" t="s">
        <v>21</v>
      </c>
      <c r="B10" s="2">
        <f t="shared" si="0"/>
        <v>3080630</v>
      </c>
      <c r="C10" s="2">
        <f t="shared" si="0"/>
        <v>105913</v>
      </c>
      <c r="D10" s="2">
        <f>D113</f>
        <v>349106</v>
      </c>
      <c r="E10" s="2"/>
      <c r="F10" s="2"/>
      <c r="G10" s="2"/>
      <c r="H10" s="2"/>
      <c r="I10" s="2"/>
      <c r="J10" s="2"/>
      <c r="K10" s="22">
        <f t="shared" si="1"/>
        <v>3535649</v>
      </c>
    </row>
    <row r="11" spans="1:13" ht="19.149999999999999" customHeight="1" x14ac:dyDescent="0.25">
      <c r="A11" s="2" t="s">
        <v>22</v>
      </c>
      <c r="B11" s="2">
        <f t="shared" si="0"/>
        <v>5858140</v>
      </c>
      <c r="C11" s="2">
        <f t="shared" si="0"/>
        <v>1263</v>
      </c>
      <c r="D11" s="2"/>
      <c r="E11" s="2">
        <f>E114</f>
        <v>85960</v>
      </c>
      <c r="F11" s="2"/>
      <c r="G11" s="2">
        <v>14744</v>
      </c>
      <c r="H11" s="2">
        <v>641518</v>
      </c>
      <c r="I11" s="2"/>
      <c r="J11" s="2"/>
      <c r="K11" s="22">
        <f t="shared" si="1"/>
        <v>6601625</v>
      </c>
    </row>
    <row r="12" spans="1:13" ht="19.149999999999999" customHeight="1" x14ac:dyDescent="0.25">
      <c r="A12" s="2" t="s">
        <v>23</v>
      </c>
      <c r="B12" s="2">
        <f t="shared" si="0"/>
        <v>3813709</v>
      </c>
      <c r="C12" s="2">
        <f t="shared" si="0"/>
        <v>583652</v>
      </c>
      <c r="D12" s="2"/>
      <c r="E12" s="2"/>
      <c r="F12" s="2"/>
      <c r="G12" s="2"/>
      <c r="H12" s="2"/>
      <c r="I12" s="2"/>
      <c r="J12" s="2"/>
      <c r="K12" s="22">
        <f t="shared" si="1"/>
        <v>4397361</v>
      </c>
    </row>
    <row r="13" spans="1:13" ht="19.149999999999999" customHeight="1" x14ac:dyDescent="0.25">
      <c r="A13" s="2" t="s">
        <v>24</v>
      </c>
      <c r="B13" s="2">
        <f t="shared" si="0"/>
        <v>592345</v>
      </c>
      <c r="C13" s="2"/>
      <c r="D13" s="2">
        <f>D116</f>
        <v>42689</v>
      </c>
      <c r="E13" s="2"/>
      <c r="F13" s="2"/>
      <c r="G13" s="2"/>
      <c r="H13" s="2"/>
      <c r="I13" s="2"/>
      <c r="J13" s="2"/>
      <c r="K13" s="22">
        <f t="shared" si="1"/>
        <v>635034</v>
      </c>
    </row>
    <row r="14" spans="1:13" ht="19.149999999999999" customHeight="1" x14ac:dyDescent="0.25">
      <c r="A14" s="2" t="s">
        <v>25</v>
      </c>
      <c r="B14" s="2">
        <f t="shared" si="0"/>
        <v>102497</v>
      </c>
      <c r="C14" s="2">
        <f t="shared" si="0"/>
        <v>247922</v>
      </c>
      <c r="D14" s="2"/>
      <c r="E14" s="2"/>
      <c r="F14" s="2"/>
      <c r="G14" s="2"/>
      <c r="H14" s="2"/>
      <c r="I14" s="2"/>
      <c r="J14" s="2"/>
      <c r="K14" s="22">
        <f t="shared" si="1"/>
        <v>350419</v>
      </c>
    </row>
    <row r="15" spans="1:13" ht="19.149999999999999" customHeight="1" x14ac:dyDescent="0.25">
      <c r="A15" s="9" t="s">
        <v>26</v>
      </c>
      <c r="B15" s="8">
        <f t="shared" ref="B15:K15" si="2">SUM(B9:B14)</f>
        <v>13862210</v>
      </c>
      <c r="C15" s="8">
        <f t="shared" si="2"/>
        <v>950172</v>
      </c>
      <c r="D15" s="8">
        <f t="shared" si="2"/>
        <v>391795</v>
      </c>
      <c r="E15" s="8">
        <f t="shared" ref="E15" si="3">SUM(E9:E14)</f>
        <v>85960</v>
      </c>
      <c r="F15" s="8">
        <f t="shared" si="2"/>
        <v>0</v>
      </c>
      <c r="G15" s="8">
        <f t="shared" si="2"/>
        <v>14744</v>
      </c>
      <c r="H15" s="8">
        <f t="shared" si="2"/>
        <v>641518</v>
      </c>
      <c r="I15" s="8"/>
      <c r="J15" s="8">
        <f t="shared" si="2"/>
        <v>0</v>
      </c>
      <c r="K15" s="23">
        <f t="shared" si="2"/>
        <v>15946399</v>
      </c>
      <c r="M15" s="154"/>
    </row>
    <row r="16" spans="1:13" ht="19.149999999999999" customHeight="1" x14ac:dyDescent="0.25">
      <c r="A16" s="2" t="s">
        <v>27</v>
      </c>
      <c r="B16" s="18"/>
      <c r="C16" s="18"/>
      <c r="H16" s="7"/>
      <c r="I16" s="7"/>
      <c r="J16" s="7"/>
      <c r="K16" s="22">
        <f>SUM(B16:J16)</f>
        <v>0</v>
      </c>
    </row>
    <row r="17" spans="1:12" ht="19.149999999999999" customHeight="1" x14ac:dyDescent="0.25">
      <c r="A17" s="2" t="s">
        <v>28</v>
      </c>
      <c r="B17" s="2"/>
      <c r="C17" s="2"/>
      <c r="D17" s="2"/>
      <c r="E17" s="2"/>
      <c r="F17" s="2"/>
      <c r="G17" s="2"/>
      <c r="H17" s="2"/>
      <c r="I17" s="2"/>
      <c r="J17" s="2"/>
      <c r="K17" s="22">
        <f>SUM(B17:J17)</f>
        <v>0</v>
      </c>
    </row>
    <row r="18" spans="1:12" ht="15" customHeight="1" thickBot="1" x14ac:dyDescent="0.3">
      <c r="A18" s="10" t="s">
        <v>29</v>
      </c>
      <c r="B18" s="11">
        <f>SUM(B15:B17)</f>
        <v>13862210</v>
      </c>
      <c r="C18" s="11">
        <f t="shared" ref="C18:H18" si="4">SUM(C15:C17)</f>
        <v>950172</v>
      </c>
      <c r="D18" s="11">
        <f t="shared" si="4"/>
        <v>391795</v>
      </c>
      <c r="E18" s="11">
        <f t="shared" ref="E18" si="5">SUM(E15:E17)</f>
        <v>85960</v>
      </c>
      <c r="F18" s="11">
        <f t="shared" si="4"/>
        <v>0</v>
      </c>
      <c r="G18" s="11">
        <f t="shared" si="4"/>
        <v>14744</v>
      </c>
      <c r="H18" s="11">
        <f t="shared" si="4"/>
        <v>641518</v>
      </c>
      <c r="I18" s="11">
        <f>SUM(I15:I17)</f>
        <v>0</v>
      </c>
      <c r="J18" s="11">
        <f>SUM(J15:J17)</f>
        <v>0</v>
      </c>
      <c r="K18" s="24">
        <f>SUM(K15:K17)</f>
        <v>15946399</v>
      </c>
    </row>
    <row r="19" spans="1:12" ht="15" customHeight="1" x14ac:dyDescent="0.25">
      <c r="A19" s="75" t="s">
        <v>347</v>
      </c>
      <c r="B19" s="142"/>
      <c r="C19" s="142"/>
      <c r="D19" s="142"/>
      <c r="E19" s="142"/>
      <c r="F19" s="142"/>
      <c r="G19" s="142"/>
      <c r="H19" s="142"/>
      <c r="I19" s="142"/>
      <c r="J19" s="142"/>
    </row>
    <row r="20" spans="1:12" ht="15" customHeight="1" x14ac:dyDescent="0.25">
      <c r="A20" s="75" t="s">
        <v>348</v>
      </c>
      <c r="B20" s="18"/>
      <c r="C20" s="13"/>
      <c r="D20" s="13"/>
      <c r="E20" s="13"/>
      <c r="F20" s="13"/>
      <c r="G20" s="13"/>
      <c r="H20" s="13"/>
      <c r="I20" s="13"/>
      <c r="J20" s="13"/>
    </row>
    <row r="21" spans="1:12" ht="15" customHeight="1" x14ac:dyDescent="0.25">
      <c r="A21" s="75"/>
      <c r="B21" s="18"/>
      <c r="C21" s="13"/>
      <c r="D21" s="13"/>
      <c r="E21" s="13"/>
      <c r="F21" s="13"/>
      <c r="G21" s="13"/>
      <c r="H21" s="13"/>
      <c r="I21" s="13"/>
      <c r="J21" s="13"/>
    </row>
    <row r="22" spans="1:12" ht="15" customHeight="1" x14ac:dyDescent="0.25">
      <c r="A22" s="75"/>
      <c r="B22" s="18"/>
      <c r="C22" s="13"/>
      <c r="D22" s="13"/>
      <c r="E22" s="13"/>
      <c r="F22" s="13"/>
      <c r="G22" s="13"/>
      <c r="H22" s="13"/>
      <c r="I22" s="13"/>
      <c r="J22" s="13"/>
    </row>
    <row r="23" spans="1:12" ht="15" customHeight="1" x14ac:dyDescent="0.25">
      <c r="A23" s="138" t="s">
        <v>349</v>
      </c>
      <c r="B23" s="139" t="s">
        <v>350</v>
      </c>
      <c r="C23" s="138" t="s">
        <v>351</v>
      </c>
      <c r="D23" s="138" t="s">
        <v>352</v>
      </c>
      <c r="E23" s="138" t="s">
        <v>353</v>
      </c>
      <c r="F23" s="13"/>
      <c r="G23" s="13"/>
      <c r="H23" s="13"/>
      <c r="I23" s="13"/>
      <c r="J23" s="13"/>
    </row>
    <row r="24" spans="1:12" ht="15" customHeight="1" x14ac:dyDescent="0.25">
      <c r="A24" s="75" t="s">
        <v>354</v>
      </c>
      <c r="B24" s="73" t="s">
        <v>21</v>
      </c>
      <c r="C24" s="73" t="s">
        <v>355</v>
      </c>
      <c r="D24" s="73" t="s">
        <v>100</v>
      </c>
      <c r="E24" s="140">
        <v>15338</v>
      </c>
      <c r="F24" s="135"/>
      <c r="K24" s="1"/>
      <c r="L24" s="1"/>
    </row>
    <row r="25" spans="1:12" ht="15" customHeight="1" x14ac:dyDescent="0.25">
      <c r="A25" s="75" t="s">
        <v>354</v>
      </c>
      <c r="B25" s="73" t="s">
        <v>21</v>
      </c>
      <c r="C25" s="73" t="s">
        <v>356</v>
      </c>
      <c r="D25" s="73" t="s">
        <v>100</v>
      </c>
      <c r="E25" s="140">
        <v>2902073</v>
      </c>
      <c r="F25" s="135"/>
      <c r="K25" s="1"/>
      <c r="L25" s="1"/>
    </row>
    <row r="26" spans="1:12" ht="15" customHeight="1" x14ac:dyDescent="0.25">
      <c r="A26" s="75" t="s">
        <v>354</v>
      </c>
      <c r="B26" s="73" t="s">
        <v>21</v>
      </c>
      <c r="C26" s="73" t="s">
        <v>357</v>
      </c>
      <c r="D26" s="73" t="s">
        <v>358</v>
      </c>
      <c r="E26" s="140">
        <v>3414</v>
      </c>
      <c r="F26" s="135"/>
      <c r="K26" s="1"/>
      <c r="L26" s="1"/>
    </row>
    <row r="27" spans="1:12" ht="15" customHeight="1" x14ac:dyDescent="0.25">
      <c r="A27" s="75" t="s">
        <v>354</v>
      </c>
      <c r="B27" s="73" t="s">
        <v>21</v>
      </c>
      <c r="C27" s="73" t="s">
        <v>359</v>
      </c>
      <c r="D27" s="73" t="s">
        <v>100</v>
      </c>
      <c r="E27" s="140">
        <v>2960</v>
      </c>
      <c r="F27" s="136"/>
      <c r="K27" s="1"/>
      <c r="L27" s="1"/>
    </row>
    <row r="28" spans="1:12" ht="15" customHeight="1" x14ac:dyDescent="0.25">
      <c r="A28" s="75" t="s">
        <v>354</v>
      </c>
      <c r="B28" s="73" t="s">
        <v>21</v>
      </c>
      <c r="C28" s="73" t="s">
        <v>360</v>
      </c>
      <c r="D28" s="73" t="s">
        <v>361</v>
      </c>
      <c r="E28" s="140">
        <v>3353</v>
      </c>
      <c r="F28" s="136"/>
      <c r="K28" s="1"/>
      <c r="L28" s="1"/>
    </row>
    <row r="29" spans="1:12" ht="15" customHeight="1" x14ac:dyDescent="0.25">
      <c r="A29" s="75" t="s">
        <v>354</v>
      </c>
      <c r="B29" s="73" t="s">
        <v>21</v>
      </c>
      <c r="C29" s="73" t="s">
        <v>360</v>
      </c>
      <c r="D29" s="73" t="s">
        <v>362</v>
      </c>
      <c r="E29" s="140">
        <v>3052</v>
      </c>
      <c r="F29" s="136"/>
      <c r="K29" s="1"/>
      <c r="L29" s="1"/>
    </row>
    <row r="30" spans="1:12" ht="15" customHeight="1" x14ac:dyDescent="0.25">
      <c r="A30" s="75" t="s">
        <v>354</v>
      </c>
      <c r="B30" s="73" t="s">
        <v>21</v>
      </c>
      <c r="C30" s="73" t="s">
        <v>360</v>
      </c>
      <c r="D30" s="73" t="s">
        <v>363</v>
      </c>
      <c r="E30" s="140">
        <v>680</v>
      </c>
      <c r="F30" s="136"/>
      <c r="K30" s="1"/>
      <c r="L30" s="1"/>
    </row>
    <row r="31" spans="1:12" ht="15" customHeight="1" x14ac:dyDescent="0.25">
      <c r="A31" s="75" t="s">
        <v>354</v>
      </c>
      <c r="B31" s="73" t="s">
        <v>21</v>
      </c>
      <c r="C31" s="73" t="s">
        <v>364</v>
      </c>
      <c r="D31" s="73" t="s">
        <v>100</v>
      </c>
      <c r="E31" s="140">
        <v>2075</v>
      </c>
      <c r="F31" s="135"/>
      <c r="K31" s="1"/>
      <c r="L31" s="1"/>
    </row>
    <row r="32" spans="1:12" ht="15" customHeight="1" x14ac:dyDescent="0.25">
      <c r="A32" s="75" t="s">
        <v>354</v>
      </c>
      <c r="B32" s="73" t="s">
        <v>21</v>
      </c>
      <c r="C32" s="73" t="s">
        <v>365</v>
      </c>
      <c r="D32" s="73" t="s">
        <v>100</v>
      </c>
      <c r="E32" s="140">
        <v>2684</v>
      </c>
      <c r="F32" s="135"/>
      <c r="K32" s="1"/>
      <c r="L32" s="1"/>
    </row>
    <row r="33" spans="1:12" x14ac:dyDescent="0.25">
      <c r="A33" s="75" t="s">
        <v>354</v>
      </c>
      <c r="B33" s="73" t="s">
        <v>21</v>
      </c>
      <c r="C33" s="73" t="s">
        <v>366</v>
      </c>
      <c r="D33" s="73" t="s">
        <v>100</v>
      </c>
      <c r="E33" s="18">
        <v>145001</v>
      </c>
      <c r="K33" s="1"/>
      <c r="L33" s="1"/>
    </row>
    <row r="34" spans="1:12" ht="15" customHeight="1" x14ac:dyDescent="0.25">
      <c r="A34" s="75" t="s">
        <v>354</v>
      </c>
      <c r="B34" s="73" t="s">
        <v>367</v>
      </c>
      <c r="C34" s="73" t="s">
        <v>368</v>
      </c>
      <c r="D34" s="73" t="s">
        <v>100</v>
      </c>
      <c r="E34" s="140">
        <v>544406</v>
      </c>
      <c r="F34" s="135"/>
      <c r="K34" s="1"/>
      <c r="L34" s="1"/>
    </row>
    <row r="35" spans="1:12" ht="15" customHeight="1" x14ac:dyDescent="0.25">
      <c r="A35" s="75" t="s">
        <v>354</v>
      </c>
      <c r="B35" s="73" t="s">
        <v>367</v>
      </c>
      <c r="C35" s="73" t="s">
        <v>369</v>
      </c>
      <c r="D35" s="73" t="s">
        <v>100</v>
      </c>
      <c r="E35" s="140">
        <f>36908+118193</f>
        <v>155101</v>
      </c>
      <c r="F35" s="135"/>
      <c r="K35" s="1"/>
      <c r="L35" s="1"/>
    </row>
    <row r="36" spans="1:12" x14ac:dyDescent="0.25">
      <c r="A36" s="75" t="s">
        <v>354</v>
      </c>
      <c r="B36" s="73" t="s">
        <v>367</v>
      </c>
      <c r="C36" s="73" t="s">
        <v>369</v>
      </c>
      <c r="D36" s="73" t="s">
        <v>174</v>
      </c>
      <c r="E36" s="140">
        <v>844336</v>
      </c>
      <c r="F36" s="135"/>
      <c r="K36" s="1"/>
      <c r="L36" s="1"/>
    </row>
    <row r="37" spans="1:12" x14ac:dyDescent="0.25">
      <c r="A37" s="75" t="s">
        <v>354</v>
      </c>
      <c r="B37" s="73" t="s">
        <v>367</v>
      </c>
      <c r="C37" s="73" t="s">
        <v>370</v>
      </c>
      <c r="D37" s="73" t="s">
        <v>100</v>
      </c>
      <c r="E37" s="140">
        <f>90000+183131</f>
        <v>273131</v>
      </c>
      <c r="K37" s="1"/>
      <c r="L37" s="1"/>
    </row>
    <row r="38" spans="1:12" x14ac:dyDescent="0.25">
      <c r="A38" s="75" t="s">
        <v>354</v>
      </c>
      <c r="B38" s="73" t="s">
        <v>367</v>
      </c>
      <c r="C38" s="73" t="s">
        <v>371</v>
      </c>
      <c r="D38" s="73" t="s">
        <v>372</v>
      </c>
      <c r="E38" s="140">
        <v>95043</v>
      </c>
      <c r="K38" s="1"/>
      <c r="L38" s="1"/>
    </row>
    <row r="39" spans="1:12" x14ac:dyDescent="0.25">
      <c r="A39" s="75" t="s">
        <v>354</v>
      </c>
      <c r="B39" s="73" t="s">
        <v>367</v>
      </c>
      <c r="C39" s="73" t="s">
        <v>373</v>
      </c>
      <c r="D39" s="73" t="s">
        <v>100</v>
      </c>
      <c r="E39" s="140">
        <f>1146+25839</f>
        <v>26985</v>
      </c>
      <c r="K39" s="1"/>
      <c r="L39" s="1"/>
    </row>
    <row r="40" spans="1:12" x14ac:dyDescent="0.25">
      <c r="A40" s="75" t="s">
        <v>354</v>
      </c>
      <c r="B40" s="73" t="s">
        <v>367</v>
      </c>
      <c r="C40" s="73" t="s">
        <v>374</v>
      </c>
      <c r="D40" s="73" t="s">
        <v>100</v>
      </c>
      <c r="E40" s="140">
        <v>63922</v>
      </c>
      <c r="K40" s="1"/>
      <c r="L40" s="1"/>
    </row>
    <row r="41" spans="1:12" x14ac:dyDescent="0.25">
      <c r="A41" s="75" t="s">
        <v>354</v>
      </c>
      <c r="B41" s="73" t="s">
        <v>367</v>
      </c>
      <c r="C41" s="73" t="s">
        <v>375</v>
      </c>
      <c r="D41" s="73" t="s">
        <v>100</v>
      </c>
      <c r="E41" s="140">
        <v>283456</v>
      </c>
      <c r="K41" s="1"/>
      <c r="L41" s="1"/>
    </row>
    <row r="42" spans="1:12" x14ac:dyDescent="0.25">
      <c r="A42" s="75" t="s">
        <v>354</v>
      </c>
      <c r="B42" s="73" t="s">
        <v>367</v>
      </c>
      <c r="C42" s="73" t="s">
        <v>376</v>
      </c>
      <c r="D42" s="73" t="s">
        <v>100</v>
      </c>
      <c r="E42" s="140">
        <v>225563</v>
      </c>
      <c r="K42" s="1"/>
      <c r="L42" s="1"/>
    </row>
    <row r="43" spans="1:12" x14ac:dyDescent="0.25">
      <c r="A43" s="75" t="s">
        <v>354</v>
      </c>
      <c r="B43" s="73" t="s">
        <v>367</v>
      </c>
      <c r="C43" s="73" t="s">
        <v>377</v>
      </c>
      <c r="D43" s="73" t="s">
        <v>100</v>
      </c>
      <c r="E43" s="140">
        <v>20496</v>
      </c>
      <c r="K43" s="1"/>
      <c r="L43" s="1"/>
    </row>
    <row r="44" spans="1:12" x14ac:dyDescent="0.25">
      <c r="A44" s="75" t="s">
        <v>354</v>
      </c>
      <c r="B44" s="73" t="s">
        <v>367</v>
      </c>
      <c r="C44" s="73" t="s">
        <v>378</v>
      </c>
      <c r="D44" s="73" t="s">
        <v>100</v>
      </c>
      <c r="E44" s="140">
        <v>116025</v>
      </c>
      <c r="K44" s="1"/>
      <c r="L44" s="1"/>
    </row>
    <row r="45" spans="1:12" x14ac:dyDescent="0.25">
      <c r="A45" s="75" t="s">
        <v>354</v>
      </c>
      <c r="B45" s="73" t="s">
        <v>367</v>
      </c>
      <c r="C45" s="73" t="s">
        <v>379</v>
      </c>
      <c r="D45" s="73" t="s">
        <v>100</v>
      </c>
      <c r="E45" s="140">
        <v>45678</v>
      </c>
      <c r="K45" s="1"/>
      <c r="L45" s="1"/>
    </row>
    <row r="46" spans="1:12" x14ac:dyDescent="0.25">
      <c r="A46" s="75" t="s">
        <v>354</v>
      </c>
      <c r="B46" s="73" t="s">
        <v>367</v>
      </c>
      <c r="C46" s="73" t="s">
        <v>380</v>
      </c>
      <c r="D46" s="73" t="s">
        <v>100</v>
      </c>
      <c r="E46" s="140">
        <v>80029</v>
      </c>
      <c r="K46" s="1"/>
      <c r="L46" s="1"/>
    </row>
    <row r="47" spans="1:12" x14ac:dyDescent="0.25">
      <c r="A47" s="75" t="s">
        <v>354</v>
      </c>
      <c r="B47" s="73" t="s">
        <v>367</v>
      </c>
      <c r="C47" s="73" t="s">
        <v>381</v>
      </c>
      <c r="D47" s="73" t="s">
        <v>100</v>
      </c>
      <c r="E47" s="140">
        <v>24625</v>
      </c>
      <c r="K47" s="1"/>
      <c r="L47" s="1"/>
    </row>
    <row r="48" spans="1:12" x14ac:dyDescent="0.25">
      <c r="A48" s="75" t="s">
        <v>354</v>
      </c>
      <c r="B48" s="73" t="s">
        <v>367</v>
      </c>
      <c r="C48" s="73" t="s">
        <v>382</v>
      </c>
      <c r="D48" s="73" t="s">
        <v>100</v>
      </c>
      <c r="E48" s="140">
        <v>117128</v>
      </c>
      <c r="K48" s="1"/>
      <c r="L48" s="1"/>
    </row>
    <row r="49" spans="1:12" x14ac:dyDescent="0.25">
      <c r="A49" s="75" t="s">
        <v>354</v>
      </c>
      <c r="B49" s="73" t="s">
        <v>367</v>
      </c>
      <c r="C49" s="73" t="s">
        <v>383</v>
      </c>
      <c r="D49" s="73" t="s">
        <v>100</v>
      </c>
      <c r="E49" s="140">
        <v>1082676</v>
      </c>
      <c r="K49" s="1"/>
      <c r="L49" s="1"/>
    </row>
    <row r="50" spans="1:12" x14ac:dyDescent="0.25">
      <c r="A50" s="75" t="s">
        <v>354</v>
      </c>
      <c r="B50" s="73" t="s">
        <v>367</v>
      </c>
      <c r="C50" s="73" t="s">
        <v>384</v>
      </c>
      <c r="D50" s="73" t="s">
        <v>100</v>
      </c>
      <c r="E50" s="140">
        <v>4541</v>
      </c>
      <c r="K50" s="1"/>
      <c r="L50" s="1"/>
    </row>
    <row r="51" spans="1:12" x14ac:dyDescent="0.25">
      <c r="A51" s="75" t="s">
        <v>354</v>
      </c>
      <c r="B51" s="73" t="s">
        <v>367</v>
      </c>
      <c r="C51" s="73" t="s">
        <v>385</v>
      </c>
      <c r="D51" s="73" t="s">
        <v>100</v>
      </c>
      <c r="E51" s="140">
        <v>231669</v>
      </c>
      <c r="K51" s="1"/>
      <c r="L51" s="1"/>
    </row>
    <row r="52" spans="1:12" x14ac:dyDescent="0.25">
      <c r="A52" s="75" t="s">
        <v>354</v>
      </c>
      <c r="B52" s="73" t="s">
        <v>367</v>
      </c>
      <c r="C52" s="73" t="s">
        <v>386</v>
      </c>
      <c r="D52" s="73" t="s">
        <v>100</v>
      </c>
      <c r="E52" s="140">
        <v>251780</v>
      </c>
      <c r="K52" s="1"/>
      <c r="L52" s="1"/>
    </row>
    <row r="53" spans="1:12" x14ac:dyDescent="0.25">
      <c r="A53" s="75" t="s">
        <v>354</v>
      </c>
      <c r="B53" s="73" t="s">
        <v>367</v>
      </c>
      <c r="C53" s="73" t="s">
        <v>387</v>
      </c>
      <c r="D53" s="73" t="s">
        <v>100</v>
      </c>
      <c r="E53" s="140">
        <f>66325+111320</f>
        <v>177645</v>
      </c>
      <c r="K53" s="1"/>
      <c r="L53" s="1"/>
    </row>
    <row r="54" spans="1:12" x14ac:dyDescent="0.25">
      <c r="A54" s="75" t="s">
        <v>354</v>
      </c>
      <c r="B54" s="73" t="s">
        <v>367</v>
      </c>
      <c r="C54" s="73" t="s">
        <v>388</v>
      </c>
      <c r="D54" s="73" t="s">
        <v>100</v>
      </c>
      <c r="E54" s="140">
        <v>181838</v>
      </c>
      <c r="K54" s="1"/>
      <c r="L54" s="1"/>
    </row>
    <row r="55" spans="1:12" x14ac:dyDescent="0.25">
      <c r="A55" s="75" t="s">
        <v>354</v>
      </c>
      <c r="B55" s="73" t="s">
        <v>367</v>
      </c>
      <c r="C55" s="73" t="s">
        <v>389</v>
      </c>
      <c r="D55" s="73" t="s">
        <v>100</v>
      </c>
      <c r="E55" s="140">
        <v>575019</v>
      </c>
      <c r="K55" s="1"/>
      <c r="L55" s="1"/>
    </row>
    <row r="56" spans="1:12" x14ac:dyDescent="0.25">
      <c r="A56" s="75" t="s">
        <v>354</v>
      </c>
      <c r="B56" s="73" t="s">
        <v>367</v>
      </c>
      <c r="C56" s="73" t="s">
        <v>390</v>
      </c>
      <c r="D56" s="73" t="s">
        <v>100</v>
      </c>
      <c r="E56" s="140">
        <v>96601</v>
      </c>
      <c r="K56" s="1"/>
      <c r="L56" s="1"/>
    </row>
    <row r="57" spans="1:12" x14ac:dyDescent="0.25">
      <c r="A57" s="75" t="s">
        <v>354</v>
      </c>
      <c r="B57" s="73" t="s">
        <v>367</v>
      </c>
      <c r="C57" s="73" t="s">
        <v>391</v>
      </c>
      <c r="D57" s="73" t="s">
        <v>100</v>
      </c>
      <c r="E57" s="140">
        <v>233897</v>
      </c>
      <c r="K57" s="1"/>
      <c r="L57" s="1"/>
    </row>
    <row r="58" spans="1:12" x14ac:dyDescent="0.25">
      <c r="A58" s="75" t="s">
        <v>354</v>
      </c>
      <c r="B58" s="73" t="s">
        <v>367</v>
      </c>
      <c r="C58" s="73" t="s">
        <v>392</v>
      </c>
      <c r="D58" s="73" t="s">
        <v>100</v>
      </c>
      <c r="E58" s="140">
        <v>68201</v>
      </c>
      <c r="K58" s="1"/>
      <c r="L58" s="1"/>
    </row>
    <row r="59" spans="1:12" x14ac:dyDescent="0.25">
      <c r="A59" s="75" t="s">
        <v>354</v>
      </c>
      <c r="B59" s="73" t="s">
        <v>367</v>
      </c>
      <c r="C59" s="73" t="s">
        <v>393</v>
      </c>
      <c r="D59" s="73" t="s">
        <v>100</v>
      </c>
      <c r="E59" s="140">
        <v>38349</v>
      </c>
      <c r="K59" s="1"/>
      <c r="L59" s="1"/>
    </row>
    <row r="60" spans="1:12" x14ac:dyDescent="0.25">
      <c r="A60" s="75" t="s">
        <v>354</v>
      </c>
      <c r="B60" s="73" t="s">
        <v>23</v>
      </c>
      <c r="C60" s="73" t="s">
        <v>394</v>
      </c>
      <c r="D60" s="73" t="s">
        <v>100</v>
      </c>
      <c r="E60" s="140">
        <f>425038+59861</f>
        <v>484899</v>
      </c>
      <c r="K60" s="1"/>
      <c r="L60" s="1"/>
    </row>
    <row r="61" spans="1:12" x14ac:dyDescent="0.25">
      <c r="A61" s="75" t="s">
        <v>354</v>
      </c>
      <c r="B61" s="73" t="s">
        <v>23</v>
      </c>
      <c r="C61" s="73" t="s">
        <v>394</v>
      </c>
      <c r="D61" s="73" t="s">
        <v>395</v>
      </c>
      <c r="E61" s="140">
        <v>680</v>
      </c>
      <c r="K61" s="1"/>
      <c r="L61" s="1"/>
    </row>
    <row r="62" spans="1:12" x14ac:dyDescent="0.25">
      <c r="A62" s="75" t="s">
        <v>354</v>
      </c>
      <c r="B62" s="73" t="s">
        <v>23</v>
      </c>
      <c r="C62" s="73" t="s">
        <v>394</v>
      </c>
      <c r="D62" s="73" t="s">
        <v>396</v>
      </c>
      <c r="E62" s="140">
        <v>825580</v>
      </c>
      <c r="K62" s="1"/>
      <c r="L62" s="1"/>
    </row>
    <row r="63" spans="1:12" x14ac:dyDescent="0.25">
      <c r="A63" s="75" t="s">
        <v>354</v>
      </c>
      <c r="B63" s="73" t="s">
        <v>23</v>
      </c>
      <c r="C63" s="73" t="s">
        <v>394</v>
      </c>
      <c r="D63" s="73" t="s">
        <v>397</v>
      </c>
      <c r="E63" s="140">
        <v>41149</v>
      </c>
      <c r="K63" s="1"/>
      <c r="L63" s="1"/>
    </row>
    <row r="64" spans="1:12" x14ac:dyDescent="0.25">
      <c r="A64" s="75" t="s">
        <v>354</v>
      </c>
      <c r="B64" s="73" t="s">
        <v>23</v>
      </c>
      <c r="C64" s="73" t="s">
        <v>394</v>
      </c>
      <c r="D64" s="73" t="s">
        <v>398</v>
      </c>
      <c r="E64" s="140">
        <v>114240</v>
      </c>
      <c r="K64" s="1"/>
      <c r="L64" s="1"/>
    </row>
    <row r="65" spans="1:12" x14ac:dyDescent="0.25">
      <c r="A65" s="75" t="s">
        <v>354</v>
      </c>
      <c r="B65" s="73" t="s">
        <v>23</v>
      </c>
      <c r="C65" s="73" t="s">
        <v>394</v>
      </c>
      <c r="D65" s="73" t="s">
        <v>399</v>
      </c>
      <c r="E65" s="140">
        <v>198113</v>
      </c>
      <c r="K65" s="1"/>
      <c r="L65" s="1"/>
    </row>
    <row r="66" spans="1:12" x14ac:dyDescent="0.25">
      <c r="A66" s="75" t="s">
        <v>354</v>
      </c>
      <c r="B66" s="73" t="s">
        <v>23</v>
      </c>
      <c r="C66" s="73" t="s">
        <v>394</v>
      </c>
      <c r="D66" s="73" t="s">
        <v>400</v>
      </c>
      <c r="E66" s="140">
        <v>22856</v>
      </c>
      <c r="K66" s="1"/>
      <c r="L66" s="1"/>
    </row>
    <row r="67" spans="1:12" x14ac:dyDescent="0.25">
      <c r="A67" s="75" t="s">
        <v>354</v>
      </c>
      <c r="B67" s="73" t="s">
        <v>23</v>
      </c>
      <c r="C67" s="73" t="s">
        <v>394</v>
      </c>
      <c r="D67" s="73" t="s">
        <v>401</v>
      </c>
      <c r="E67" s="140">
        <v>1088228</v>
      </c>
      <c r="K67" s="1"/>
      <c r="L67" s="1"/>
    </row>
    <row r="68" spans="1:12" x14ac:dyDescent="0.25">
      <c r="A68" s="2" t="s">
        <v>354</v>
      </c>
      <c r="B68" s="73" t="s">
        <v>23</v>
      </c>
      <c r="C68" s="73" t="s">
        <v>394</v>
      </c>
      <c r="D68" s="73" t="s">
        <v>402</v>
      </c>
      <c r="E68" s="140">
        <f>512006+249779</f>
        <v>761785</v>
      </c>
      <c r="K68" s="1"/>
      <c r="L68" s="1"/>
    </row>
    <row r="69" spans="1:12" x14ac:dyDescent="0.25">
      <c r="A69" s="2" t="s">
        <v>354</v>
      </c>
      <c r="B69" s="73" t="s">
        <v>23</v>
      </c>
      <c r="C69" s="73" t="s">
        <v>394</v>
      </c>
      <c r="D69" s="73" t="s">
        <v>403</v>
      </c>
      <c r="E69" s="140">
        <v>276179</v>
      </c>
      <c r="K69" s="1"/>
      <c r="L69" s="1"/>
    </row>
    <row r="70" spans="1:12" x14ac:dyDescent="0.25">
      <c r="A70" s="2" t="s">
        <v>354</v>
      </c>
      <c r="B70" s="73" t="s">
        <v>404</v>
      </c>
      <c r="C70" s="73" t="s">
        <v>405</v>
      </c>
      <c r="D70" s="73" t="s">
        <v>100</v>
      </c>
      <c r="E70" s="140">
        <v>82528</v>
      </c>
      <c r="K70" s="1"/>
      <c r="L70" s="1"/>
    </row>
    <row r="71" spans="1:12" x14ac:dyDescent="0.25">
      <c r="A71" s="2" t="s">
        <v>354</v>
      </c>
      <c r="B71" s="73" t="s">
        <v>404</v>
      </c>
      <c r="C71" s="73" t="s">
        <v>406</v>
      </c>
      <c r="D71" s="73" t="s">
        <v>100</v>
      </c>
      <c r="E71" s="140">
        <v>15924</v>
      </c>
      <c r="K71" s="1"/>
      <c r="L71" s="1"/>
    </row>
    <row r="72" spans="1:12" x14ac:dyDescent="0.25">
      <c r="A72" s="2" t="s">
        <v>354</v>
      </c>
      <c r="B72" s="73" t="s">
        <v>404</v>
      </c>
      <c r="C72" s="73" t="s">
        <v>407</v>
      </c>
      <c r="D72" s="73" t="s">
        <v>100</v>
      </c>
      <c r="E72" s="140">
        <v>39618</v>
      </c>
      <c r="K72" s="1"/>
      <c r="L72" s="1"/>
    </row>
    <row r="73" spans="1:12" x14ac:dyDescent="0.25">
      <c r="A73" s="2" t="s">
        <v>354</v>
      </c>
      <c r="B73" s="73" t="s">
        <v>404</v>
      </c>
      <c r="C73" s="73" t="s">
        <v>408</v>
      </c>
      <c r="D73" s="73" t="s">
        <v>100</v>
      </c>
      <c r="E73" s="140">
        <v>30163</v>
      </c>
      <c r="K73" s="1"/>
      <c r="L73" s="1"/>
    </row>
    <row r="74" spans="1:12" x14ac:dyDescent="0.25">
      <c r="A74" s="2" t="s">
        <v>354</v>
      </c>
      <c r="B74" s="73" t="s">
        <v>404</v>
      </c>
      <c r="C74" s="73" t="s">
        <v>409</v>
      </c>
      <c r="D74" s="73" t="s">
        <v>100</v>
      </c>
      <c r="E74" s="140">
        <v>61345</v>
      </c>
      <c r="K74" s="1"/>
      <c r="L74" s="1"/>
    </row>
    <row r="75" spans="1:12" x14ac:dyDescent="0.25">
      <c r="A75" s="2" t="s">
        <v>354</v>
      </c>
      <c r="B75" s="73" t="s">
        <v>404</v>
      </c>
      <c r="C75" s="73" t="s">
        <v>410</v>
      </c>
      <c r="D75" s="73" t="s">
        <v>100</v>
      </c>
      <c r="E75" s="140">
        <v>185311</v>
      </c>
      <c r="K75" s="1"/>
      <c r="L75" s="1"/>
    </row>
    <row r="76" spans="1:12" x14ac:dyDescent="0.25">
      <c r="A76" s="2" t="s">
        <v>354</v>
      </c>
      <c r="B76" s="73" t="s">
        <v>24</v>
      </c>
      <c r="C76" s="73" t="s">
        <v>411</v>
      </c>
      <c r="D76" s="73" t="s">
        <v>100</v>
      </c>
      <c r="E76" s="140">
        <v>592345</v>
      </c>
      <c r="K76" s="1"/>
      <c r="L76" s="1"/>
    </row>
    <row r="77" spans="1:12" x14ac:dyDescent="0.25">
      <c r="A77" s="2" t="s">
        <v>354</v>
      </c>
      <c r="B77" s="73" t="s">
        <v>412</v>
      </c>
      <c r="C77" s="73" t="s">
        <v>413</v>
      </c>
      <c r="D77" s="73" t="s">
        <v>100</v>
      </c>
      <c r="E77" s="140">
        <v>102497</v>
      </c>
      <c r="K77" s="1"/>
      <c r="L77" s="1"/>
    </row>
    <row r="78" spans="1:12" x14ac:dyDescent="0.25">
      <c r="A78" s="2" t="s">
        <v>414</v>
      </c>
      <c r="B78" s="73" t="s">
        <v>21</v>
      </c>
      <c r="C78" s="73" t="s">
        <v>415</v>
      </c>
      <c r="D78" s="73" t="s">
        <v>100</v>
      </c>
      <c r="E78" s="140">
        <v>41438</v>
      </c>
      <c r="K78" s="1"/>
      <c r="L78" s="1"/>
    </row>
    <row r="79" spans="1:12" x14ac:dyDescent="0.25">
      <c r="A79" s="2" t="s">
        <v>414</v>
      </c>
      <c r="B79" s="73" t="s">
        <v>21</v>
      </c>
      <c r="C79" s="73" t="s">
        <v>416</v>
      </c>
      <c r="D79" s="73" t="s">
        <v>100</v>
      </c>
      <c r="E79" s="140">
        <v>20250</v>
      </c>
    </row>
    <row r="80" spans="1:12" x14ac:dyDescent="0.25">
      <c r="A80" s="2" t="s">
        <v>414</v>
      </c>
      <c r="B80" s="73" t="s">
        <v>21</v>
      </c>
      <c r="C80" s="73" t="s">
        <v>365</v>
      </c>
      <c r="D80" s="73" t="s">
        <v>100</v>
      </c>
      <c r="E80" s="140">
        <v>29841</v>
      </c>
    </row>
    <row r="81" spans="1:5" x14ac:dyDescent="0.25">
      <c r="A81" s="2" t="s">
        <v>414</v>
      </c>
      <c r="B81" s="73" t="s">
        <v>21</v>
      </c>
      <c r="C81" s="73" t="s">
        <v>365</v>
      </c>
      <c r="D81" s="73" t="s">
        <v>417</v>
      </c>
      <c r="E81" s="140">
        <v>7835</v>
      </c>
    </row>
    <row r="82" spans="1:5" x14ac:dyDescent="0.25">
      <c r="A82" s="2" t="s">
        <v>414</v>
      </c>
      <c r="B82" s="73" t="s">
        <v>21</v>
      </c>
      <c r="C82" s="73" t="s">
        <v>418</v>
      </c>
      <c r="D82" s="73" t="s">
        <v>100</v>
      </c>
      <c r="E82" s="140">
        <v>6549</v>
      </c>
    </row>
    <row r="83" spans="1:5" x14ac:dyDescent="0.25">
      <c r="A83" s="2" t="s">
        <v>414</v>
      </c>
      <c r="B83" s="73" t="s">
        <v>367</v>
      </c>
      <c r="C83" s="73" t="s">
        <v>419</v>
      </c>
      <c r="D83" s="73" t="s">
        <v>100</v>
      </c>
      <c r="E83" s="140">
        <v>1263</v>
      </c>
    </row>
    <row r="84" spans="1:5" x14ac:dyDescent="0.25">
      <c r="A84" s="2" t="s">
        <v>414</v>
      </c>
      <c r="B84" s="73" t="s">
        <v>23</v>
      </c>
      <c r="C84" s="73" t="s">
        <v>394</v>
      </c>
      <c r="D84" s="73" t="s">
        <v>396</v>
      </c>
      <c r="E84" s="140">
        <v>583652</v>
      </c>
    </row>
    <row r="85" spans="1:5" x14ac:dyDescent="0.25">
      <c r="A85" s="2" t="s">
        <v>414</v>
      </c>
      <c r="B85" s="73" t="s">
        <v>404</v>
      </c>
      <c r="C85" s="73" t="s">
        <v>420</v>
      </c>
      <c r="D85" s="73" t="s">
        <v>100</v>
      </c>
      <c r="E85" s="140">
        <v>11422</v>
      </c>
    </row>
    <row r="86" spans="1:5" x14ac:dyDescent="0.25">
      <c r="A86" s="2" t="s">
        <v>414</v>
      </c>
      <c r="B86" s="73" t="s">
        <v>412</v>
      </c>
      <c r="C86" s="73" t="s">
        <v>421</v>
      </c>
      <c r="D86" s="73" t="s">
        <v>100</v>
      </c>
      <c r="E86" s="140">
        <v>15521</v>
      </c>
    </row>
    <row r="87" spans="1:5" x14ac:dyDescent="0.25">
      <c r="A87" s="2" t="s">
        <v>414</v>
      </c>
      <c r="B87" s="73" t="s">
        <v>412</v>
      </c>
      <c r="C87" s="73" t="s">
        <v>422</v>
      </c>
      <c r="D87" s="73" t="s">
        <v>100</v>
      </c>
      <c r="E87" s="140">
        <v>105209</v>
      </c>
    </row>
    <row r="88" spans="1:5" x14ac:dyDescent="0.25">
      <c r="A88" s="2" t="s">
        <v>414</v>
      </c>
      <c r="B88" s="73" t="s">
        <v>412</v>
      </c>
      <c r="C88" s="73" t="s">
        <v>423</v>
      </c>
      <c r="D88" s="73" t="s">
        <v>100</v>
      </c>
      <c r="E88" s="140">
        <v>127192</v>
      </c>
    </row>
    <row r="89" spans="1:5" x14ac:dyDescent="0.25">
      <c r="A89" s="2" t="s">
        <v>424</v>
      </c>
      <c r="B89" s="73" t="s">
        <v>21</v>
      </c>
      <c r="C89" s="73" t="s">
        <v>425</v>
      </c>
      <c r="D89" s="73" t="s">
        <v>426</v>
      </c>
      <c r="E89" s="140">
        <v>74397</v>
      </c>
    </row>
    <row r="90" spans="1:5" x14ac:dyDescent="0.25">
      <c r="A90" s="2" t="s">
        <v>424</v>
      </c>
      <c r="B90" s="73" t="s">
        <v>21</v>
      </c>
      <c r="C90" s="73" t="s">
        <v>427</v>
      </c>
      <c r="D90" s="73" t="s">
        <v>428</v>
      </c>
      <c r="E90" s="140">
        <v>9708</v>
      </c>
    </row>
    <row r="91" spans="1:5" x14ac:dyDescent="0.25">
      <c r="A91" s="2" t="s">
        <v>424</v>
      </c>
      <c r="B91" s="73" t="s">
        <v>21</v>
      </c>
      <c r="C91" s="73" t="s">
        <v>425</v>
      </c>
      <c r="D91" s="73" t="s">
        <v>429</v>
      </c>
      <c r="E91" s="140">
        <v>20826</v>
      </c>
    </row>
    <row r="92" spans="1:5" x14ac:dyDescent="0.25">
      <c r="A92" s="2" t="s">
        <v>424</v>
      </c>
      <c r="B92" s="73" t="s">
        <v>21</v>
      </c>
      <c r="C92" s="73" t="s">
        <v>430</v>
      </c>
      <c r="D92" s="73" t="s">
        <v>431</v>
      </c>
      <c r="E92" s="140">
        <v>125040</v>
      </c>
    </row>
    <row r="93" spans="1:5" x14ac:dyDescent="0.25">
      <c r="A93" s="2" t="s">
        <v>424</v>
      </c>
      <c r="B93" s="73" t="s">
        <v>24</v>
      </c>
      <c r="C93" s="73" t="s">
        <v>432</v>
      </c>
      <c r="D93" s="73" t="s">
        <v>433</v>
      </c>
      <c r="E93" s="140">
        <v>42689</v>
      </c>
    </row>
    <row r="94" spans="1:5" x14ac:dyDescent="0.25">
      <c r="A94" s="2" t="s">
        <v>424</v>
      </c>
      <c r="B94" s="73" t="s">
        <v>21</v>
      </c>
      <c r="C94" s="73" t="s">
        <v>427</v>
      </c>
      <c r="D94" s="73" t="s">
        <v>434</v>
      </c>
      <c r="E94" s="140">
        <v>37106</v>
      </c>
    </row>
    <row r="95" spans="1:5" x14ac:dyDescent="0.25">
      <c r="A95" s="2" t="s">
        <v>424</v>
      </c>
      <c r="B95" s="73" t="s">
        <v>21</v>
      </c>
      <c r="C95" s="73" t="s">
        <v>435</v>
      </c>
      <c r="D95" s="73" t="s">
        <v>436</v>
      </c>
      <c r="E95" s="140">
        <v>55635</v>
      </c>
    </row>
    <row r="96" spans="1:5" x14ac:dyDescent="0.25">
      <c r="A96" s="2" t="s">
        <v>424</v>
      </c>
      <c r="B96" s="73" t="s">
        <v>21</v>
      </c>
      <c r="C96" s="73" t="s">
        <v>427</v>
      </c>
      <c r="D96" s="73" t="s">
        <v>437</v>
      </c>
      <c r="E96" s="140">
        <v>14605</v>
      </c>
    </row>
    <row r="97" spans="1:8" x14ac:dyDescent="0.25">
      <c r="A97" s="2" t="s">
        <v>424</v>
      </c>
      <c r="B97" s="73" t="s">
        <v>21</v>
      </c>
      <c r="C97" s="73" t="s">
        <v>438</v>
      </c>
      <c r="D97" s="73" t="s">
        <v>439</v>
      </c>
      <c r="E97" s="140">
        <v>11789</v>
      </c>
    </row>
    <row r="98" spans="1:8" x14ac:dyDescent="0.25">
      <c r="A98" s="2" t="s">
        <v>440</v>
      </c>
      <c r="B98" s="73" t="s">
        <v>367</v>
      </c>
      <c r="C98" s="73" t="s">
        <v>441</v>
      </c>
      <c r="D98" s="73" t="s">
        <v>442</v>
      </c>
      <c r="E98" s="140">
        <v>33420</v>
      </c>
    </row>
    <row r="99" spans="1:8" x14ac:dyDescent="0.25">
      <c r="A99" s="2" t="s">
        <v>440</v>
      </c>
      <c r="B99" s="73" t="s">
        <v>367</v>
      </c>
      <c r="C99" s="73" t="s">
        <v>441</v>
      </c>
      <c r="D99" s="73" t="s">
        <v>443</v>
      </c>
      <c r="E99" s="140">
        <v>6270</v>
      </c>
    </row>
    <row r="100" spans="1:8" x14ac:dyDescent="0.25">
      <c r="A100" s="2" t="s">
        <v>440</v>
      </c>
      <c r="B100" s="73" t="s">
        <v>367</v>
      </c>
      <c r="C100" s="73" t="s">
        <v>441</v>
      </c>
      <c r="D100" s="73" t="s">
        <v>444</v>
      </c>
      <c r="E100" s="140">
        <v>32091</v>
      </c>
    </row>
    <row r="101" spans="1:8" x14ac:dyDescent="0.25">
      <c r="A101" s="2" t="s">
        <v>440</v>
      </c>
      <c r="B101" s="73" t="s">
        <v>367</v>
      </c>
      <c r="C101" s="73" t="s">
        <v>441</v>
      </c>
      <c r="D101" s="73" t="s">
        <v>445</v>
      </c>
      <c r="E101" s="140">
        <v>14179</v>
      </c>
    </row>
    <row r="102" spans="1:8" x14ac:dyDescent="0.25">
      <c r="A102" s="2" t="s">
        <v>446</v>
      </c>
      <c r="B102" s="73" t="s">
        <v>367</v>
      </c>
      <c r="C102" s="73" t="s">
        <v>441</v>
      </c>
      <c r="D102" s="73" t="s">
        <v>447</v>
      </c>
      <c r="E102" s="140">
        <v>14744</v>
      </c>
    </row>
    <row r="103" spans="1:8" x14ac:dyDescent="0.25">
      <c r="A103" s="2" t="s">
        <v>448</v>
      </c>
      <c r="B103" s="73" t="s">
        <v>367</v>
      </c>
      <c r="C103" s="73" t="s">
        <v>449</v>
      </c>
      <c r="D103" s="73" t="s">
        <v>100</v>
      </c>
      <c r="E103" s="140">
        <v>641518</v>
      </c>
    </row>
    <row r="104" spans="1:8" ht="15.75" thickBot="1" x14ac:dyDescent="0.3">
      <c r="D104" s="77"/>
      <c r="E104" s="144">
        <f>SUM(E24:E103)</f>
        <v>15946399</v>
      </c>
    </row>
    <row r="105" spans="1:8" ht="15.75" thickTop="1" x14ac:dyDescent="0.25">
      <c r="D105" s="77"/>
      <c r="E105" s="137">
        <f>K18</f>
        <v>15946399</v>
      </c>
    </row>
    <row r="106" spans="1:8" x14ac:dyDescent="0.25">
      <c r="D106" s="77"/>
      <c r="E106" s="137">
        <f>E104-E105</f>
        <v>0</v>
      </c>
    </row>
    <row r="107" spans="1:8" x14ac:dyDescent="0.25">
      <c r="D107" s="77"/>
      <c r="E107" s="137"/>
    </row>
    <row r="109" spans="1:8" x14ac:dyDescent="0.25">
      <c r="A109" s="2" t="s">
        <v>450</v>
      </c>
      <c r="D109" s="77"/>
      <c r="E109" s="137"/>
    </row>
    <row r="110" spans="1:8" x14ac:dyDescent="0.25">
      <c r="A110" s="141" t="s">
        <v>451</v>
      </c>
      <c r="B110" s="141" t="s">
        <v>452</v>
      </c>
      <c r="C110"/>
      <c r="D110"/>
      <c r="E110"/>
      <c r="F110"/>
      <c r="G110"/>
      <c r="H110"/>
    </row>
    <row r="111" spans="1:8" x14ac:dyDescent="0.25">
      <c r="A111" s="141" t="s">
        <v>453</v>
      </c>
      <c r="B111" t="s">
        <v>354</v>
      </c>
      <c r="C111" t="s">
        <v>414</v>
      </c>
      <c r="D111" t="s">
        <v>424</v>
      </c>
      <c r="E111" t="s">
        <v>440</v>
      </c>
      <c r="F111" t="s">
        <v>446</v>
      </c>
      <c r="G111" t="s">
        <v>448</v>
      </c>
      <c r="H111" t="s">
        <v>290</v>
      </c>
    </row>
    <row r="112" spans="1:8" x14ac:dyDescent="0.25">
      <c r="A112" s="99" t="s">
        <v>404</v>
      </c>
      <c r="B112" s="155">
        <v>414889</v>
      </c>
      <c r="C112" s="155">
        <v>11422</v>
      </c>
      <c r="D112" s="155"/>
      <c r="E112" s="155"/>
      <c r="F112" s="155"/>
      <c r="G112" s="155"/>
      <c r="H112" s="155">
        <v>426311</v>
      </c>
    </row>
    <row r="113" spans="1:8" x14ac:dyDescent="0.25">
      <c r="A113" s="99" t="s">
        <v>21</v>
      </c>
      <c r="B113" s="155">
        <v>3080630</v>
      </c>
      <c r="C113" s="155">
        <v>105913</v>
      </c>
      <c r="D113" s="155">
        <v>349106</v>
      </c>
      <c r="E113" s="155"/>
      <c r="F113" s="155"/>
      <c r="G113" s="155"/>
      <c r="H113" s="155">
        <v>3535649</v>
      </c>
    </row>
    <row r="114" spans="1:8" x14ac:dyDescent="0.25">
      <c r="A114" s="99" t="s">
        <v>367</v>
      </c>
      <c r="B114" s="155">
        <v>5858140</v>
      </c>
      <c r="C114" s="155">
        <v>1263</v>
      </c>
      <c r="D114" s="155"/>
      <c r="E114" s="155">
        <v>85960</v>
      </c>
      <c r="F114" s="155">
        <v>14744</v>
      </c>
      <c r="G114" s="155">
        <v>641518</v>
      </c>
      <c r="H114" s="155">
        <v>6601625</v>
      </c>
    </row>
    <row r="115" spans="1:8" x14ac:dyDescent="0.25">
      <c r="A115" s="99" t="s">
        <v>23</v>
      </c>
      <c r="B115" s="155">
        <v>3813709</v>
      </c>
      <c r="C115" s="155">
        <v>583652</v>
      </c>
      <c r="D115" s="155"/>
      <c r="E115" s="155"/>
      <c r="F115" s="155"/>
      <c r="G115" s="155"/>
      <c r="H115" s="155">
        <v>4397361</v>
      </c>
    </row>
    <row r="116" spans="1:8" x14ac:dyDescent="0.25">
      <c r="A116" s="99" t="s">
        <v>24</v>
      </c>
      <c r="B116" s="155">
        <v>592345</v>
      </c>
      <c r="C116" s="155"/>
      <c r="D116" s="155">
        <v>42689</v>
      </c>
      <c r="E116" s="155"/>
      <c r="F116" s="155"/>
      <c r="G116" s="155"/>
      <c r="H116" s="155">
        <v>635034</v>
      </c>
    </row>
    <row r="117" spans="1:8" x14ac:dyDescent="0.25">
      <c r="A117" s="99" t="s">
        <v>412</v>
      </c>
      <c r="B117" s="155">
        <v>102497</v>
      </c>
      <c r="C117" s="155">
        <v>247922</v>
      </c>
      <c r="D117" s="155"/>
      <c r="E117" s="155"/>
      <c r="F117" s="155"/>
      <c r="G117" s="155"/>
      <c r="H117" s="155">
        <v>350419</v>
      </c>
    </row>
    <row r="118" spans="1:8" x14ac:dyDescent="0.25">
      <c r="A118" s="99" t="s">
        <v>290</v>
      </c>
      <c r="B118" s="155">
        <v>13862210</v>
      </c>
      <c r="C118" s="155">
        <v>950172</v>
      </c>
      <c r="D118" s="155">
        <v>391795</v>
      </c>
      <c r="E118" s="155">
        <v>85960</v>
      </c>
      <c r="F118" s="155">
        <v>14744</v>
      </c>
      <c r="G118" s="155">
        <v>641518</v>
      </c>
      <c r="H118" s="155">
        <v>15946399</v>
      </c>
    </row>
    <row r="119" spans="1:8" x14ac:dyDescent="0.25">
      <c r="A119"/>
      <c r="B119"/>
      <c r="C119"/>
      <c r="D119"/>
      <c r="E119"/>
      <c r="F119"/>
      <c r="G119"/>
      <c r="H119"/>
    </row>
    <row r="120" spans="1:8" x14ac:dyDescent="0.25">
      <c r="A120"/>
      <c r="B120"/>
      <c r="C120"/>
      <c r="D120"/>
      <c r="E120"/>
      <c r="F120"/>
      <c r="G120"/>
      <c r="H120" s="155">
        <v>2042324</v>
      </c>
    </row>
    <row r="121" spans="1:8" x14ac:dyDescent="0.25">
      <c r="H121" s="156">
        <f>GETPIVOTDATA("Est. Budget",$A$110)-H120</f>
        <v>13904075</v>
      </c>
    </row>
    <row r="122" spans="1:8" x14ac:dyDescent="0.25">
      <c r="A122" s="84" t="s">
        <v>454</v>
      </c>
    </row>
  </sheetData>
  <mergeCells count="1">
    <mergeCell ref="B5:J5"/>
  </mergeCells>
  <hyperlinks>
    <hyperlink ref="A122" r:id="rId2" display="%2324-01/%2324-01/%2324-01/:x:/r/sites/budget1/Shared Documents/BP%26A/Cost Recovery/FY24-25/FY24-25 Cost Recovery Spending Plan - Proposed.xlsx?d=w2e673a52d5d24383a5efec9792efddc2&amp;csf=1&amp;web=1&amp;e=0V7l6T" xr:uid="{42F4EA78-B0A0-4EE8-B815-9C4B9D7A94FB}"/>
  </hyperlinks>
  <printOptions horizontalCentered="1"/>
  <pageMargins left="0.75" right="0.75" top="0.5" bottom="0.5" header="0.3" footer="0.3"/>
  <pageSetup scale="88" fitToHeight="0" orientation="landscape" r:id="rId3"/>
  <headerFooter>
    <oddFooter>&amp;L&amp;8&amp;D&amp;C&amp;8&amp;P&amp;R&amp;8&amp;F</oddFooter>
  </headerFooter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5E5E6-C9CC-47E7-A530-AD7E9D936C17}">
  <sheetPr>
    <tabColor rgb="FFFFC000"/>
    <pageSetUpPr fitToPage="1"/>
  </sheetPr>
  <dimension ref="A1:K21"/>
  <sheetViews>
    <sheetView workbookViewId="0">
      <selection activeCell="O26" sqref="O26"/>
    </sheetView>
  </sheetViews>
  <sheetFormatPr defaultColWidth="8.85546875" defaultRowHeight="15" x14ac:dyDescent="0.25"/>
  <cols>
    <col min="1" max="1" width="26.28515625" style="2" customWidth="1"/>
    <col min="2" max="2" width="12.85546875" style="1" customWidth="1"/>
    <col min="3" max="3" width="11.85546875" style="1" customWidth="1"/>
    <col min="4" max="4" width="12.42578125" style="1" customWidth="1"/>
    <col min="5" max="5" width="13.140625" style="1" customWidth="1"/>
    <col min="6" max="7" width="11.85546875" style="1" customWidth="1"/>
    <col min="8" max="8" width="11.85546875" style="1" hidden="1" customWidth="1"/>
    <col min="9" max="10" width="11.85546875" style="1" customWidth="1"/>
    <col min="11" max="11" width="13.42578125" style="1" customWidth="1"/>
    <col min="12" max="23" width="14" style="2" customWidth="1"/>
    <col min="24" max="16384" width="8.85546875" style="2"/>
  </cols>
  <sheetData>
    <row r="1" spans="1:11" ht="25.9" customHeight="1" x14ac:dyDescent="0.4">
      <c r="A1" s="3"/>
      <c r="K1" s="26"/>
    </row>
    <row r="2" spans="1:11" ht="25.9" customHeight="1" x14ac:dyDescent="0.3">
      <c r="A2" s="3"/>
    </row>
    <row r="3" spans="1:11" ht="18.75" customHeight="1" x14ac:dyDescent="0.3">
      <c r="A3" s="3" t="s">
        <v>455</v>
      </c>
      <c r="K3" s="6" t="str">
        <f>+'Attachment A - Base'!J3</f>
        <v>BPA #24-01R</v>
      </c>
    </row>
    <row r="4" spans="1:11" ht="20.100000000000001" customHeight="1" x14ac:dyDescent="0.25">
      <c r="A4" s="17">
        <f>+'Attachment A - Base'!A4</f>
        <v>45527</v>
      </c>
    </row>
    <row r="5" spans="1:11" x14ac:dyDescent="0.25">
      <c r="B5" s="166"/>
      <c r="C5" s="166"/>
      <c r="D5" s="166"/>
      <c r="E5" s="166"/>
      <c r="F5" s="166"/>
      <c r="G5" s="166"/>
      <c r="H5" s="166"/>
      <c r="I5" s="166"/>
      <c r="J5" s="166"/>
      <c r="K5" s="166"/>
    </row>
    <row r="6" spans="1:11" x14ac:dyDescent="0.25">
      <c r="B6" s="1">
        <v>-1</v>
      </c>
      <c r="G6" s="1">
        <v>-2</v>
      </c>
      <c r="K6" s="19"/>
    </row>
    <row r="7" spans="1:11" ht="60.75" thickBot="1" x14ac:dyDescent="0.3">
      <c r="A7" s="4"/>
      <c r="B7" s="5" t="s">
        <v>337</v>
      </c>
      <c r="C7" s="5" t="s">
        <v>338</v>
      </c>
      <c r="D7" s="5" t="s">
        <v>340</v>
      </c>
      <c r="E7" s="5" t="s">
        <v>341</v>
      </c>
      <c r="F7" s="5" t="s">
        <v>342</v>
      </c>
      <c r="G7" s="5" t="s">
        <v>343</v>
      </c>
      <c r="H7" s="5" t="s">
        <v>344</v>
      </c>
      <c r="I7" s="5" t="s">
        <v>344</v>
      </c>
      <c r="J7" s="5" t="s">
        <v>345</v>
      </c>
      <c r="K7" s="20" t="s">
        <v>456</v>
      </c>
    </row>
    <row r="8" spans="1:11" ht="19.149999999999999" customHeight="1" x14ac:dyDescent="0.25">
      <c r="A8" s="14"/>
      <c r="B8" s="16"/>
      <c r="C8" s="16"/>
      <c r="D8" s="16"/>
      <c r="E8" s="16"/>
      <c r="F8" s="16"/>
      <c r="G8" s="16"/>
      <c r="H8" s="16"/>
      <c r="I8" s="16"/>
      <c r="J8" s="16"/>
      <c r="K8" s="21"/>
    </row>
    <row r="9" spans="1:11" ht="19.149999999999999" customHeight="1" x14ac:dyDescent="0.25">
      <c r="A9" s="2" t="s">
        <v>20</v>
      </c>
      <c r="B9" s="2">
        <f>272495-89549</f>
        <v>182946</v>
      </c>
      <c r="C9" s="2">
        <v>3052</v>
      </c>
      <c r="D9" s="2"/>
      <c r="E9" s="2"/>
      <c r="F9" s="2"/>
      <c r="G9" s="2"/>
      <c r="H9" s="2"/>
      <c r="I9" s="2"/>
      <c r="J9" s="2"/>
      <c r="K9" s="22">
        <f t="shared" ref="K9:K14" si="0">SUM(B9:J9)</f>
        <v>185998</v>
      </c>
    </row>
    <row r="10" spans="1:11" ht="19.149999999999999" customHeight="1" x14ac:dyDescent="0.25">
      <c r="A10" s="2" t="s">
        <v>21</v>
      </c>
      <c r="B10" s="2">
        <v>9872247</v>
      </c>
      <c r="C10" s="2">
        <v>75938</v>
      </c>
      <c r="D10" s="2">
        <v>104845</v>
      </c>
      <c r="E10" s="2">
        <v>-219</v>
      </c>
      <c r="F10" s="2"/>
      <c r="G10" s="2"/>
      <c r="H10" s="2"/>
      <c r="I10" s="2"/>
      <c r="J10" s="2">
        <v>4425</v>
      </c>
      <c r="K10" s="22">
        <f t="shared" si="0"/>
        <v>10057236</v>
      </c>
    </row>
    <row r="11" spans="1:11" ht="19.149999999999999" customHeight="1" x14ac:dyDescent="0.25">
      <c r="A11" s="2" t="s">
        <v>22</v>
      </c>
      <c r="B11" s="2">
        <v>11177253</v>
      </c>
      <c r="C11" s="2">
        <v>246980</v>
      </c>
      <c r="D11" s="2">
        <v>192945</v>
      </c>
      <c r="E11" s="2"/>
      <c r="F11" s="2">
        <v>52593</v>
      </c>
      <c r="G11" s="2">
        <v>292019</v>
      </c>
      <c r="H11" s="2"/>
      <c r="I11" s="2"/>
      <c r="J11" s="2"/>
      <c r="K11" s="22">
        <f t="shared" si="0"/>
        <v>11961790</v>
      </c>
    </row>
    <row r="12" spans="1:11" ht="19.149999999999999" customHeight="1" x14ac:dyDescent="0.25">
      <c r="A12" s="2" t="s">
        <v>23</v>
      </c>
      <c r="B12" s="2">
        <v>290549</v>
      </c>
      <c r="C12" s="2">
        <v>623161</v>
      </c>
      <c r="D12" s="2"/>
      <c r="E12" s="2"/>
      <c r="F12" s="2"/>
      <c r="G12" s="2"/>
      <c r="H12" s="2"/>
      <c r="I12" s="2"/>
      <c r="J12" s="2"/>
      <c r="K12" s="22">
        <f t="shared" si="0"/>
        <v>913710</v>
      </c>
    </row>
    <row r="13" spans="1:11" ht="19.149999999999999" customHeight="1" x14ac:dyDescent="0.25">
      <c r="A13" s="2" t="s">
        <v>24</v>
      </c>
      <c r="B13" s="2">
        <v>722610</v>
      </c>
      <c r="C13" s="2"/>
      <c r="D13" s="2">
        <v>-2709</v>
      </c>
      <c r="E13" s="2"/>
      <c r="F13" s="2"/>
      <c r="G13" s="2"/>
      <c r="H13" s="2"/>
      <c r="I13" s="2"/>
      <c r="J13" s="2"/>
      <c r="K13" s="22">
        <f t="shared" si="0"/>
        <v>719901</v>
      </c>
    </row>
    <row r="14" spans="1:11" ht="19.149999999999999" customHeight="1" x14ac:dyDescent="0.25">
      <c r="A14" s="2" t="s">
        <v>25</v>
      </c>
      <c r="B14" s="2">
        <v>301856</v>
      </c>
      <c r="C14" s="2">
        <v>-218065.53</v>
      </c>
      <c r="D14" s="2"/>
      <c r="E14" s="2"/>
      <c r="F14" s="2"/>
      <c r="G14" s="2"/>
      <c r="H14" s="2"/>
      <c r="I14" s="2"/>
      <c r="J14" s="2"/>
      <c r="K14" s="22">
        <f t="shared" si="0"/>
        <v>83790.47</v>
      </c>
    </row>
    <row r="15" spans="1:11" ht="19.149999999999999" customHeight="1" x14ac:dyDescent="0.25">
      <c r="A15" s="9" t="s">
        <v>26</v>
      </c>
      <c r="B15" s="8">
        <f t="shared" ref="B15:K15" si="1">SUM(B9:B14)</f>
        <v>22547461</v>
      </c>
      <c r="C15" s="8">
        <f t="shared" si="1"/>
        <v>731065.47</v>
      </c>
      <c r="D15" s="8">
        <f t="shared" si="1"/>
        <v>295081</v>
      </c>
      <c r="E15" s="8">
        <f t="shared" si="1"/>
        <v>-219</v>
      </c>
      <c r="F15" s="8">
        <f t="shared" si="1"/>
        <v>52593</v>
      </c>
      <c r="G15" s="8">
        <f t="shared" si="1"/>
        <v>292019</v>
      </c>
      <c r="H15" s="8"/>
      <c r="I15" s="8">
        <f t="shared" ref="I15" si="2">SUM(I9:I14)</f>
        <v>0</v>
      </c>
      <c r="J15" s="8">
        <f t="shared" si="1"/>
        <v>4425</v>
      </c>
      <c r="K15" s="23">
        <f t="shared" si="1"/>
        <v>23922425.469999999</v>
      </c>
    </row>
    <row r="16" spans="1:11" ht="19.149999999999999" customHeight="1" x14ac:dyDescent="0.25">
      <c r="A16" s="2" t="s">
        <v>27</v>
      </c>
      <c r="B16" s="18"/>
      <c r="C16" s="18"/>
      <c r="G16" s="7"/>
      <c r="H16" s="7"/>
      <c r="I16" s="7"/>
      <c r="J16" s="7"/>
      <c r="K16" s="22">
        <f>SUM(B16:J16)</f>
        <v>0</v>
      </c>
    </row>
    <row r="17" spans="1:11" ht="19.149999999999999" customHeight="1" x14ac:dyDescent="0.25">
      <c r="A17" s="2" t="s">
        <v>28</v>
      </c>
      <c r="B17" s="2">
        <f>120168.52+89549</f>
        <v>209717.52000000002</v>
      </c>
      <c r="C17" s="2">
        <v>-418641</v>
      </c>
      <c r="D17" s="2">
        <v>84049</v>
      </c>
      <c r="E17" s="2"/>
      <c r="F17" s="2">
        <v>-5411.46</v>
      </c>
      <c r="G17" s="2">
        <v>30784.33</v>
      </c>
      <c r="H17" s="2"/>
      <c r="I17" s="2">
        <v>834000</v>
      </c>
      <c r="J17" s="2"/>
      <c r="K17" s="22">
        <f>SUM(B17:J17)</f>
        <v>734498.39</v>
      </c>
    </row>
    <row r="18" spans="1:11" ht="15" customHeight="1" thickBot="1" x14ac:dyDescent="0.3">
      <c r="A18" s="10" t="s">
        <v>29</v>
      </c>
      <c r="B18" s="11">
        <f>SUM(B15:B17)</f>
        <v>22757178.52</v>
      </c>
      <c r="C18" s="11">
        <f t="shared" ref="C18:G18" si="3">SUM(C15:C17)</f>
        <v>312424.46999999997</v>
      </c>
      <c r="D18" s="11">
        <f t="shared" si="3"/>
        <v>379130</v>
      </c>
      <c r="E18" s="11">
        <f t="shared" si="3"/>
        <v>-219</v>
      </c>
      <c r="F18" s="11">
        <f t="shared" si="3"/>
        <v>47181.54</v>
      </c>
      <c r="G18" s="11">
        <f t="shared" si="3"/>
        <v>322803.33</v>
      </c>
      <c r="H18" s="11">
        <f>SUM(H15:H17)</f>
        <v>0</v>
      </c>
      <c r="I18" s="11">
        <f t="shared" ref="I18" si="4">SUM(I15:I17)</f>
        <v>834000</v>
      </c>
      <c r="J18" s="11">
        <f>SUM(J15:J17)</f>
        <v>4425</v>
      </c>
      <c r="K18" s="24">
        <f>SUM(K15:K17)</f>
        <v>24656923.859999999</v>
      </c>
    </row>
    <row r="19" spans="1:11" ht="15" customHeight="1" x14ac:dyDescent="0.25">
      <c r="A19" s="75"/>
      <c r="B19" s="18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5" customHeight="1" x14ac:dyDescent="0.25">
      <c r="A20" s="2" t="s">
        <v>457</v>
      </c>
      <c r="B20" s="18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75" t="s">
        <v>458</v>
      </c>
    </row>
  </sheetData>
  <mergeCells count="1">
    <mergeCell ref="B5:K5"/>
  </mergeCells>
  <printOptions horizontalCentered="1"/>
  <pageMargins left="0.75" right="0.75" top="0.5" bottom="0.5" header="0.3" footer="0.3"/>
  <pageSetup scale="88" fitToHeight="0" orientation="landscape" r:id="rId1"/>
  <headerFooter>
    <oddFooter>&amp;L&amp;8&amp;D&amp;C&amp;8&amp;P&amp;R&amp;8&amp;F</oddFooter>
  </headerFooter>
  <ignoredErrors>
    <ignoredError sqref="K15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BB1E7-FBEB-4D4B-ACE6-FAC748BD9842}">
  <sheetPr>
    <tabColor theme="2"/>
  </sheetPr>
  <dimension ref="A1"/>
  <sheetViews>
    <sheetView workbookViewId="0"/>
  </sheetViews>
  <sheetFormatPr defaultRowHeight="15" x14ac:dyDescent="0.25"/>
  <cols>
    <col min="1" max="1" width="9" customWidth="1"/>
  </cols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7125B-6534-4D98-9410-01FA5D3D87F6}">
  <sheetPr>
    <tabColor rgb="FFFFC000"/>
    <pageSetUpPr fitToPage="1"/>
  </sheetPr>
  <dimension ref="A1:E19"/>
  <sheetViews>
    <sheetView workbookViewId="0"/>
  </sheetViews>
  <sheetFormatPr defaultColWidth="8.85546875" defaultRowHeight="15" x14ac:dyDescent="0.25"/>
  <cols>
    <col min="1" max="1" width="26.28515625" style="2" customWidth="1"/>
    <col min="2" max="2" width="14" style="1" bestFit="1" customWidth="1"/>
    <col min="3" max="3" width="14.28515625" style="1" customWidth="1"/>
    <col min="4" max="4" width="14.5703125" style="1" customWidth="1"/>
    <col min="5" max="5" width="15" style="1" customWidth="1"/>
    <col min="6" max="17" width="14" style="2" customWidth="1"/>
    <col min="18" max="16384" width="8.85546875" style="2"/>
  </cols>
  <sheetData>
    <row r="1" spans="1:5" ht="25.9" customHeight="1" x14ac:dyDescent="0.3">
      <c r="A1" s="3"/>
    </row>
    <row r="2" spans="1:5" ht="25.9" customHeight="1" x14ac:dyDescent="0.3">
      <c r="A2" s="3"/>
      <c r="E2" s="6" t="e">
        <f>+#REF!</f>
        <v>#REF!</v>
      </c>
    </row>
    <row r="3" spans="1:5" ht="18.75" customHeight="1" x14ac:dyDescent="0.3">
      <c r="A3" s="3" t="s">
        <v>459</v>
      </c>
    </row>
    <row r="4" spans="1:5" ht="20.100000000000001" customHeight="1" x14ac:dyDescent="0.25">
      <c r="A4" s="17" t="e">
        <f>+#REF!</f>
        <v>#REF!</v>
      </c>
    </row>
    <row r="5" spans="1:5" x14ac:dyDescent="0.25">
      <c r="B5" s="166"/>
      <c r="C5" s="166"/>
      <c r="D5" s="166"/>
      <c r="E5" s="166"/>
    </row>
    <row r="6" spans="1:5" x14ac:dyDescent="0.25">
      <c r="E6" s="19"/>
    </row>
    <row r="7" spans="1:5" ht="15.75" thickBot="1" x14ac:dyDescent="0.3">
      <c r="A7" s="4"/>
      <c r="B7" s="5"/>
      <c r="C7" s="5"/>
      <c r="D7" s="5"/>
      <c r="E7" s="20"/>
    </row>
    <row r="8" spans="1:5" ht="19.149999999999999" customHeight="1" x14ac:dyDescent="0.25">
      <c r="A8" s="14"/>
      <c r="B8" s="16"/>
      <c r="C8" s="16"/>
      <c r="D8" s="15"/>
      <c r="E8" s="21"/>
    </row>
    <row r="9" spans="1:5" ht="19.149999999999999" customHeight="1" x14ac:dyDescent="0.25">
      <c r="A9" s="2" t="s">
        <v>20</v>
      </c>
      <c r="B9" s="7"/>
      <c r="C9" s="7"/>
      <c r="D9" s="7"/>
      <c r="E9" s="22"/>
    </row>
    <row r="10" spans="1:5" ht="19.149999999999999" customHeight="1" x14ac:dyDescent="0.25">
      <c r="A10" s="2" t="s">
        <v>21</v>
      </c>
      <c r="B10" s="7"/>
      <c r="C10" s="7"/>
      <c r="D10" s="7"/>
      <c r="E10" s="22"/>
    </row>
    <row r="11" spans="1:5" ht="19.149999999999999" customHeight="1" x14ac:dyDescent="0.25">
      <c r="A11" s="2" t="s">
        <v>22</v>
      </c>
      <c r="B11" s="7"/>
      <c r="C11" s="7"/>
      <c r="D11" s="7"/>
      <c r="E11" s="22"/>
    </row>
    <row r="12" spans="1:5" ht="19.149999999999999" customHeight="1" x14ac:dyDescent="0.25">
      <c r="A12" s="2" t="s">
        <v>23</v>
      </c>
      <c r="B12" s="7"/>
      <c r="C12" s="7"/>
      <c r="D12" s="7"/>
      <c r="E12" s="22"/>
    </row>
    <row r="13" spans="1:5" ht="19.149999999999999" customHeight="1" x14ac:dyDescent="0.25">
      <c r="A13" s="2" t="s">
        <v>24</v>
      </c>
      <c r="B13" s="7"/>
      <c r="C13" s="7"/>
      <c r="D13" s="7"/>
      <c r="E13" s="22"/>
    </row>
    <row r="14" spans="1:5" ht="19.149999999999999" customHeight="1" x14ac:dyDescent="0.25">
      <c r="A14" s="2" t="s">
        <v>25</v>
      </c>
      <c r="B14" s="7"/>
      <c r="C14" s="7"/>
      <c r="D14" s="7"/>
      <c r="E14" s="22"/>
    </row>
    <row r="15" spans="1:5" ht="19.149999999999999" customHeight="1" x14ac:dyDescent="0.25">
      <c r="A15" s="9" t="s">
        <v>26</v>
      </c>
      <c r="B15" s="8">
        <f t="shared" ref="B15:E15" si="0">SUM(B9:B14)</f>
        <v>0</v>
      </c>
      <c r="C15" s="8">
        <f t="shared" si="0"/>
        <v>0</v>
      </c>
      <c r="D15" s="8">
        <f t="shared" si="0"/>
        <v>0</v>
      </c>
      <c r="E15" s="23">
        <f t="shared" si="0"/>
        <v>0</v>
      </c>
    </row>
    <row r="16" spans="1:5" ht="19.149999999999999" customHeight="1" x14ac:dyDescent="0.25">
      <c r="A16" s="2" t="s">
        <v>27</v>
      </c>
      <c r="B16" s="18"/>
      <c r="D16" s="7"/>
      <c r="E16" s="22"/>
    </row>
    <row r="17" spans="1:5" ht="19.149999999999999" customHeight="1" x14ac:dyDescent="0.25">
      <c r="A17" s="2" t="s">
        <v>28</v>
      </c>
      <c r="B17" s="7"/>
      <c r="C17" s="7"/>
      <c r="D17" s="7"/>
      <c r="E17" s="22"/>
    </row>
    <row r="18" spans="1:5" ht="15" customHeight="1" thickBot="1" x14ac:dyDescent="0.3">
      <c r="A18" s="10" t="s">
        <v>29</v>
      </c>
      <c r="B18" s="11">
        <f t="shared" ref="B18:E18" si="1">SUM(B15:B17)</f>
        <v>0</v>
      </c>
      <c r="C18" s="11">
        <f t="shared" si="1"/>
        <v>0</v>
      </c>
      <c r="D18" s="11">
        <f t="shared" si="1"/>
        <v>0</v>
      </c>
      <c r="E18" s="24">
        <f t="shared" si="1"/>
        <v>0</v>
      </c>
    </row>
    <row r="19" spans="1:5" ht="15" customHeight="1" x14ac:dyDescent="0.25">
      <c r="A19" s="12"/>
      <c r="B19" s="12"/>
      <c r="C19" s="13"/>
      <c r="D19" s="13"/>
      <c r="E19" s="13"/>
    </row>
  </sheetData>
  <mergeCells count="1">
    <mergeCell ref="B5:E5"/>
  </mergeCells>
  <printOptions horizontalCentered="1"/>
  <pageMargins left="0.75" right="0.75" top="0.5" bottom="0.5" header="0.3" footer="0.3"/>
  <pageSetup orientation="landscape" r:id="rId1"/>
  <headerFooter>
    <oddFooter>&amp;L&amp;8&amp;D&amp;R&amp;8&amp;F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25EF9-BBA1-45D6-B3B2-E1564A44D920}">
  <sheetPr>
    <tabColor rgb="FFFFC000"/>
    <pageSetUpPr fitToPage="1"/>
  </sheetPr>
  <dimension ref="A1:G39"/>
  <sheetViews>
    <sheetView workbookViewId="0">
      <selection activeCell="D18" sqref="D18"/>
    </sheetView>
  </sheetViews>
  <sheetFormatPr defaultColWidth="8.85546875" defaultRowHeight="15" x14ac:dyDescent="0.25"/>
  <cols>
    <col min="1" max="1" width="31" style="2" customWidth="1"/>
    <col min="2" max="3" width="15.140625" style="1" customWidth="1"/>
    <col min="4" max="4" width="14.28515625" style="1" customWidth="1"/>
    <col min="5" max="6" width="15.7109375" style="1" customWidth="1"/>
    <col min="7" max="18" width="14" style="2" customWidth="1"/>
    <col min="19" max="16384" width="8.85546875" style="2"/>
  </cols>
  <sheetData>
    <row r="1" spans="1:6" ht="25.9" customHeight="1" x14ac:dyDescent="0.4">
      <c r="A1" s="3"/>
      <c r="F1" s="26"/>
    </row>
    <row r="2" spans="1:6" ht="25.9" customHeight="1" x14ac:dyDescent="0.3">
      <c r="A2" s="3"/>
    </row>
    <row r="3" spans="1:6" ht="18.75" customHeight="1" x14ac:dyDescent="0.3">
      <c r="A3" s="3" t="s">
        <v>41</v>
      </c>
      <c r="F3" s="6" t="str">
        <f>+'Attachment A - Base'!J3</f>
        <v>BPA #24-01R</v>
      </c>
    </row>
    <row r="4" spans="1:6" ht="20.100000000000001" customHeight="1" x14ac:dyDescent="0.25">
      <c r="A4" s="17">
        <f>+'Attachment A - Base'!A4</f>
        <v>45527</v>
      </c>
    </row>
    <row r="5" spans="1:6" x14ac:dyDescent="0.25">
      <c r="B5" s="166"/>
      <c r="C5" s="166"/>
      <c r="D5" s="166"/>
      <c r="E5" s="166"/>
      <c r="F5" s="166"/>
    </row>
    <row r="6" spans="1:6" x14ac:dyDescent="0.25">
      <c r="B6" s="1">
        <v>-1</v>
      </c>
      <c r="C6" s="1">
        <v>-2</v>
      </c>
      <c r="D6" s="19">
        <v>-3</v>
      </c>
      <c r="E6" s="2"/>
      <c r="F6" s="2"/>
    </row>
    <row r="7" spans="1:6" ht="60.75" thickBot="1" x14ac:dyDescent="0.3">
      <c r="A7" s="4"/>
      <c r="B7" s="5" t="s">
        <v>42</v>
      </c>
      <c r="C7" s="5" t="s">
        <v>43</v>
      </c>
      <c r="D7" s="20" t="s">
        <v>44</v>
      </c>
      <c r="E7" s="2"/>
      <c r="F7" s="2"/>
    </row>
    <row r="8" spans="1:6" ht="19.149999999999999" customHeight="1" x14ac:dyDescent="0.25">
      <c r="A8" s="14"/>
      <c r="B8" s="16"/>
      <c r="C8" s="16"/>
      <c r="D8" s="21"/>
      <c r="E8" s="2"/>
      <c r="F8" s="2"/>
    </row>
    <row r="9" spans="1:6" ht="19.149999999999999" customHeight="1" x14ac:dyDescent="0.25">
      <c r="A9" s="2" t="s">
        <v>20</v>
      </c>
      <c r="B9" s="60">
        <v>101311</v>
      </c>
      <c r="C9" s="61"/>
      <c r="D9" s="22">
        <f t="shared" ref="D9:D14" si="0">SUM(B9:C9)</f>
        <v>101311</v>
      </c>
      <c r="E9" s="2"/>
      <c r="F9" s="2"/>
    </row>
    <row r="10" spans="1:6" ht="19.149999999999999" customHeight="1" x14ac:dyDescent="0.25">
      <c r="A10" s="2" t="s">
        <v>21</v>
      </c>
      <c r="B10" s="60">
        <v>15147974</v>
      </c>
      <c r="C10" s="60"/>
      <c r="D10" s="22">
        <f t="shared" si="0"/>
        <v>15147974</v>
      </c>
      <c r="E10" s="2"/>
      <c r="F10" s="2"/>
    </row>
    <row r="11" spans="1:6" ht="19.149999999999999" customHeight="1" x14ac:dyDescent="0.25">
      <c r="A11" s="2" t="s">
        <v>22</v>
      </c>
      <c r="B11" s="61" t="s">
        <v>45</v>
      </c>
      <c r="C11" s="61"/>
      <c r="D11" s="22">
        <f t="shared" si="0"/>
        <v>0</v>
      </c>
      <c r="E11" s="2"/>
      <c r="F11" s="2"/>
    </row>
    <row r="12" spans="1:6" ht="19.149999999999999" customHeight="1" x14ac:dyDescent="0.25">
      <c r="A12" s="2" t="s">
        <v>23</v>
      </c>
      <c r="B12" s="60">
        <v>112304</v>
      </c>
      <c r="C12" s="61"/>
      <c r="D12" s="22">
        <f t="shared" si="0"/>
        <v>112304</v>
      </c>
      <c r="E12" s="2"/>
      <c r="F12" s="2"/>
    </row>
    <row r="13" spans="1:6" ht="19.149999999999999" customHeight="1" x14ac:dyDescent="0.25">
      <c r="A13" s="2" t="s">
        <v>24</v>
      </c>
      <c r="B13" s="60">
        <v>4904714</v>
      </c>
      <c r="C13" s="64">
        <f>-446000+357000+58000</f>
        <v>-31000</v>
      </c>
      <c r="D13" s="22">
        <f t="shared" si="0"/>
        <v>4873714</v>
      </c>
      <c r="E13" s="2"/>
      <c r="F13" s="2"/>
    </row>
    <row r="14" spans="1:6" ht="19.149999999999999" customHeight="1" x14ac:dyDescent="0.25">
      <c r="A14" s="2" t="s">
        <v>25</v>
      </c>
      <c r="B14" s="61" t="s">
        <v>45</v>
      </c>
      <c r="C14" s="61"/>
      <c r="D14" s="22">
        <f t="shared" si="0"/>
        <v>0</v>
      </c>
      <c r="E14" s="2"/>
      <c r="F14" s="2"/>
    </row>
    <row r="15" spans="1:6" ht="19.149999999999999" customHeight="1" x14ac:dyDescent="0.25">
      <c r="A15" s="9" t="s">
        <v>26</v>
      </c>
      <c r="B15" s="8">
        <f t="shared" ref="B15:D15" si="1">SUM(B9:B14)</f>
        <v>20266303</v>
      </c>
      <c r="C15" s="8">
        <f t="shared" si="1"/>
        <v>-31000</v>
      </c>
      <c r="D15" s="23">
        <f t="shared" si="1"/>
        <v>20235303</v>
      </c>
      <c r="E15" s="2"/>
      <c r="F15" s="2"/>
    </row>
    <row r="16" spans="1:6" ht="19.149999999999999" customHeight="1" x14ac:dyDescent="0.25">
      <c r="A16" s="2" t="s">
        <v>27</v>
      </c>
      <c r="B16" s="62"/>
      <c r="C16" s="63"/>
      <c r="D16" s="22">
        <f>SUM(B16:C16)</f>
        <v>0</v>
      </c>
      <c r="E16" s="2"/>
      <c r="F16" s="2"/>
    </row>
    <row r="17" spans="1:6" ht="19.149999999999999" customHeight="1" x14ac:dyDescent="0.25">
      <c r="A17" s="2" t="s">
        <v>28</v>
      </c>
      <c r="B17" s="64">
        <f>7979497</f>
        <v>7979497</v>
      </c>
      <c r="C17" s="64"/>
      <c r="D17" s="22">
        <f>SUM(B17:C17)</f>
        <v>7979497</v>
      </c>
      <c r="E17" s="2"/>
      <c r="F17" s="2"/>
    </row>
    <row r="18" spans="1:6" ht="15" customHeight="1" thickBot="1" x14ac:dyDescent="0.3">
      <c r="A18" s="10" t="s">
        <v>29</v>
      </c>
      <c r="B18" s="11">
        <f t="shared" ref="B18:D18" si="2">SUM(B15:B17)</f>
        <v>28245800</v>
      </c>
      <c r="C18" s="11">
        <f t="shared" si="2"/>
        <v>-31000</v>
      </c>
      <c r="D18" s="24">
        <f t="shared" si="2"/>
        <v>28214800</v>
      </c>
      <c r="E18" s="2"/>
      <c r="F18" s="2"/>
    </row>
    <row r="19" spans="1:6" ht="15" customHeight="1" x14ac:dyDescent="0.25">
      <c r="A19" s="12"/>
      <c r="B19" s="12"/>
      <c r="C19" s="13"/>
      <c r="D19" s="13"/>
      <c r="E19" s="13"/>
      <c r="F19" s="13"/>
    </row>
    <row r="20" spans="1:6" x14ac:dyDescent="0.25">
      <c r="A20" s="2" t="s">
        <v>46</v>
      </c>
    </row>
    <row r="21" spans="1:6" x14ac:dyDescent="0.25">
      <c r="A21" s="2" t="s">
        <v>47</v>
      </c>
    </row>
    <row r="22" spans="1:6" x14ac:dyDescent="0.25">
      <c r="A22" s="2" t="s">
        <v>48</v>
      </c>
    </row>
    <row r="23" spans="1:6" x14ac:dyDescent="0.25">
      <c r="A23" s="2" t="s">
        <v>49</v>
      </c>
    </row>
    <row r="25" spans="1:6" x14ac:dyDescent="0.25">
      <c r="A25" s="2" t="s">
        <v>50</v>
      </c>
    </row>
    <row r="27" spans="1:6" x14ac:dyDescent="0.25">
      <c r="A27" s="65" t="s">
        <v>51</v>
      </c>
      <c r="B27" s="66" t="s">
        <v>52</v>
      </c>
      <c r="C27" s="66" t="s">
        <v>53</v>
      </c>
      <c r="D27" s="66" t="s">
        <v>23</v>
      </c>
      <c r="E27" s="66" t="s">
        <v>54</v>
      </c>
      <c r="F27" s="66" t="s">
        <v>55</v>
      </c>
    </row>
    <row r="28" spans="1:6" x14ac:dyDescent="0.25">
      <c r="A28" s="67"/>
      <c r="B28" s="68" t="s">
        <v>56</v>
      </c>
      <c r="C28" s="68" t="s">
        <v>57</v>
      </c>
      <c r="D28" s="68"/>
      <c r="E28" s="68" t="s">
        <v>57</v>
      </c>
      <c r="F28" s="68"/>
    </row>
    <row r="29" spans="1:6" x14ac:dyDescent="0.25">
      <c r="A29" s="33" t="s">
        <v>58</v>
      </c>
      <c r="B29" s="18"/>
      <c r="C29" s="18">
        <v>614090</v>
      </c>
      <c r="D29" s="18"/>
      <c r="E29" s="18"/>
      <c r="F29" s="18">
        <f t="shared" ref="F29:F37" si="3">SUM(B29:E29)</f>
        <v>614090</v>
      </c>
    </row>
    <row r="30" spans="1:6" x14ac:dyDescent="0.25">
      <c r="A30" s="33" t="s">
        <v>59</v>
      </c>
      <c r="B30" s="18"/>
      <c r="C30" s="18">
        <v>166360</v>
      </c>
      <c r="D30" s="18"/>
      <c r="E30" s="18"/>
      <c r="F30" s="18">
        <f t="shared" si="3"/>
        <v>166360</v>
      </c>
    </row>
    <row r="31" spans="1:6" x14ac:dyDescent="0.25">
      <c r="A31" s="33" t="s">
        <v>60</v>
      </c>
      <c r="B31" s="18">
        <v>101311</v>
      </c>
      <c r="C31" s="18"/>
      <c r="D31" s="18"/>
      <c r="E31" s="18"/>
      <c r="F31" s="18">
        <f t="shared" si="3"/>
        <v>101311</v>
      </c>
    </row>
    <row r="32" spans="1:6" x14ac:dyDescent="0.25">
      <c r="A32" s="33" t="s">
        <v>61</v>
      </c>
      <c r="B32" s="18"/>
      <c r="C32" s="18"/>
      <c r="D32" s="18"/>
      <c r="E32" s="18">
        <f>800000+58000</f>
        <v>858000</v>
      </c>
      <c r="F32" s="18">
        <f t="shared" si="3"/>
        <v>858000</v>
      </c>
    </row>
    <row r="33" spans="1:7" x14ac:dyDescent="0.25">
      <c r="A33" s="33" t="s">
        <v>62</v>
      </c>
      <c r="B33" s="18"/>
      <c r="C33" s="18"/>
      <c r="D33" s="18"/>
      <c r="E33" s="18">
        <v>357000</v>
      </c>
      <c r="F33" s="18">
        <f t="shared" si="3"/>
        <v>357000</v>
      </c>
    </row>
    <row r="34" spans="1:7" x14ac:dyDescent="0.25">
      <c r="A34" s="33" t="s">
        <v>63</v>
      </c>
      <c r="B34" s="18"/>
      <c r="C34" s="18">
        <f>5956193+2213214</f>
        <v>8169407</v>
      </c>
      <c r="D34" s="18"/>
      <c r="E34" s="18"/>
      <c r="F34" s="18">
        <f t="shared" si="3"/>
        <v>8169407</v>
      </c>
      <c r="G34" s="69"/>
    </row>
    <row r="35" spans="1:7" x14ac:dyDescent="0.25">
      <c r="A35" s="33" t="s">
        <v>64</v>
      </c>
      <c r="B35" s="18"/>
      <c r="C35" s="18">
        <f>14367524-8169407</f>
        <v>6198117</v>
      </c>
      <c r="D35" s="18">
        <v>112304</v>
      </c>
      <c r="E35" s="18">
        <f>1844510+370000+85000+138204</f>
        <v>2437714</v>
      </c>
      <c r="F35" s="18">
        <f t="shared" si="3"/>
        <v>8748135</v>
      </c>
      <c r="G35" s="69"/>
    </row>
    <row r="36" spans="1:7" x14ac:dyDescent="0.25">
      <c r="A36" s="33" t="s">
        <v>65</v>
      </c>
      <c r="B36" s="18"/>
      <c r="C36" s="18"/>
      <c r="D36" s="18"/>
      <c r="E36" s="18"/>
      <c r="F36" s="18">
        <f t="shared" si="3"/>
        <v>0</v>
      </c>
    </row>
    <row r="37" spans="1:7" x14ac:dyDescent="0.25">
      <c r="A37" s="33" t="s">
        <v>66</v>
      </c>
      <c r="C37" s="18"/>
      <c r="D37" s="18"/>
      <c r="E37" s="18">
        <f>553000+668000</f>
        <v>1221000</v>
      </c>
      <c r="F37" s="18">
        <f t="shared" si="3"/>
        <v>1221000</v>
      </c>
    </row>
    <row r="38" spans="1:7" x14ac:dyDescent="0.25">
      <c r="A38" s="33" t="s">
        <v>28</v>
      </c>
      <c r="C38" s="18"/>
      <c r="D38" s="18"/>
      <c r="E38" s="18"/>
      <c r="F38" s="18">
        <v>7979497</v>
      </c>
    </row>
    <row r="39" spans="1:7" x14ac:dyDescent="0.25">
      <c r="B39" s="70">
        <f>SUM(B29:B38)</f>
        <v>101311</v>
      </c>
      <c r="C39" s="70">
        <f>SUM(C29:C38)</f>
        <v>15147974</v>
      </c>
      <c r="D39" s="70">
        <f>SUM(D29:D38)</f>
        <v>112304</v>
      </c>
      <c r="E39" s="70">
        <f>SUM(E29:E38)</f>
        <v>4873714</v>
      </c>
      <c r="F39" s="70">
        <f>SUM(F29:F38)</f>
        <v>28214800</v>
      </c>
    </row>
  </sheetData>
  <mergeCells count="1">
    <mergeCell ref="B5:F5"/>
  </mergeCells>
  <pageMargins left="0.75" right="0.75" top="0.5" bottom="0.5" header="0.3" footer="0.3"/>
  <pageSetup fitToHeight="0" orientation="landscape" r:id="rId1"/>
  <headerFooter>
    <oddFooter>&amp;L&amp;8&amp;D&amp;C&amp;8&amp;P&amp;R&amp;8&amp;A</oddFooter>
  </headerFooter>
  <rowBreaks count="1" manualBreakCount="1">
    <brk id="26" max="16383" man="1"/>
  </rowBreaks>
  <ignoredErrors>
    <ignoredError sqref="D1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D0CD4-8D72-4C85-862B-F4499F380AD0}">
  <sheetPr>
    <tabColor rgb="FFFFC000"/>
    <pageSetUpPr fitToPage="1"/>
  </sheetPr>
  <dimension ref="A1:M136"/>
  <sheetViews>
    <sheetView workbookViewId="0">
      <selection activeCell="D18" sqref="D18"/>
    </sheetView>
  </sheetViews>
  <sheetFormatPr defaultColWidth="8.85546875" defaultRowHeight="15" x14ac:dyDescent="0.25"/>
  <cols>
    <col min="1" max="1" width="34.5703125" style="2" customWidth="1"/>
    <col min="2" max="8" width="13" style="1" customWidth="1"/>
    <col min="9" max="18" width="14" style="2" customWidth="1"/>
    <col min="19" max="16384" width="8.85546875" style="2"/>
  </cols>
  <sheetData>
    <row r="1" spans="1:13" ht="25.9" customHeight="1" x14ac:dyDescent="0.3">
      <c r="A1" s="3"/>
    </row>
    <row r="2" spans="1:13" ht="25.9" customHeight="1" x14ac:dyDescent="0.3">
      <c r="A2" s="3"/>
      <c r="H2" s="6"/>
    </row>
    <row r="3" spans="1:13" ht="18.75" customHeight="1" x14ac:dyDescent="0.3">
      <c r="A3" s="3" t="s">
        <v>67</v>
      </c>
      <c r="I3" s="6" t="str">
        <f>+'Attachment A - Base'!J3</f>
        <v>BPA #24-01R</v>
      </c>
    </row>
    <row r="4" spans="1:13" ht="20.100000000000001" customHeight="1" x14ac:dyDescent="0.25">
      <c r="A4" s="17">
        <f>+'Attachment A - Base'!A4</f>
        <v>45527</v>
      </c>
      <c r="B4" s="71"/>
    </row>
    <row r="5" spans="1:13" ht="15.75" x14ac:dyDescent="0.25">
      <c r="A5" s="17"/>
      <c r="B5" s="166"/>
      <c r="C5" s="166"/>
      <c r="D5" s="166"/>
      <c r="E5" s="166"/>
      <c r="F5" s="166"/>
      <c r="G5" s="166"/>
      <c r="H5" s="166"/>
    </row>
    <row r="6" spans="1:13" x14ac:dyDescent="0.25">
      <c r="I6" s="19"/>
    </row>
    <row r="7" spans="1:13" ht="75.75" thickBot="1" x14ac:dyDescent="0.3">
      <c r="A7" s="4"/>
      <c r="B7" s="5" t="s">
        <v>68</v>
      </c>
      <c r="C7" s="5" t="s">
        <v>69</v>
      </c>
      <c r="D7" s="5" t="s">
        <v>70</v>
      </c>
      <c r="E7" s="5" t="s">
        <v>71</v>
      </c>
      <c r="F7" s="5" t="s">
        <v>72</v>
      </c>
      <c r="G7" s="5" t="s">
        <v>73</v>
      </c>
      <c r="H7" s="5" t="s">
        <v>74</v>
      </c>
      <c r="I7" s="20" t="s">
        <v>75</v>
      </c>
    </row>
    <row r="8" spans="1:13" ht="19.149999999999999" customHeight="1" x14ac:dyDescent="0.25">
      <c r="A8" s="14"/>
      <c r="B8" s="16"/>
      <c r="C8" s="16"/>
      <c r="D8" s="16"/>
      <c r="E8" s="16"/>
      <c r="F8" s="16"/>
      <c r="G8" s="16"/>
      <c r="H8" s="16"/>
      <c r="I8" s="21"/>
    </row>
    <row r="9" spans="1:13" ht="19.149999999999999" customHeight="1" x14ac:dyDescent="0.25">
      <c r="A9" s="2" t="s">
        <v>20</v>
      </c>
      <c r="B9" s="7"/>
      <c r="C9" s="7"/>
      <c r="D9" s="7"/>
      <c r="E9" s="7"/>
      <c r="F9" s="7"/>
      <c r="G9" s="7"/>
      <c r="H9" s="7"/>
      <c r="I9" s="22">
        <f t="shared" ref="I9:I14" si="0">SUM(B9:H9)</f>
        <v>0</v>
      </c>
    </row>
    <row r="10" spans="1:13" ht="19.149999999999999" customHeight="1" x14ac:dyDescent="0.25">
      <c r="A10" s="2" t="s">
        <v>21</v>
      </c>
      <c r="B10" s="7">
        <v>422088</v>
      </c>
      <c r="C10" s="7">
        <v>908477</v>
      </c>
      <c r="D10" s="7">
        <f>+C30</f>
        <v>4672040</v>
      </c>
      <c r="E10" s="7"/>
      <c r="F10" s="7"/>
      <c r="G10" s="7">
        <f>+C109</f>
        <v>362385</v>
      </c>
      <c r="H10" s="7">
        <f>+C127</f>
        <v>115882</v>
      </c>
      <c r="I10" s="22">
        <f t="shared" si="0"/>
        <v>6480872</v>
      </c>
    </row>
    <row r="11" spans="1:13" ht="19.149999999999999" customHeight="1" x14ac:dyDescent="0.25">
      <c r="A11" s="2" t="s">
        <v>22</v>
      </c>
      <c r="B11" s="7"/>
      <c r="C11" s="7"/>
      <c r="D11" s="7"/>
      <c r="E11" s="7"/>
      <c r="F11" s="7"/>
      <c r="G11" s="7"/>
      <c r="H11" s="7">
        <f>+C130</f>
        <v>2686</v>
      </c>
      <c r="I11" s="22">
        <f t="shared" si="0"/>
        <v>2686</v>
      </c>
    </row>
    <row r="12" spans="1:13" ht="19.149999999999999" customHeight="1" x14ac:dyDescent="0.25">
      <c r="A12" s="2" t="s">
        <v>23</v>
      </c>
      <c r="B12" s="7"/>
      <c r="C12" s="7"/>
      <c r="D12" s="7">
        <f>+C34</f>
        <v>3043961</v>
      </c>
      <c r="E12" s="7"/>
      <c r="F12" s="7"/>
      <c r="G12" s="7"/>
      <c r="H12" s="7"/>
      <c r="I12" s="22">
        <f t="shared" si="0"/>
        <v>3043961</v>
      </c>
    </row>
    <row r="13" spans="1:13" ht="19.149999999999999" customHeight="1" x14ac:dyDescent="0.25">
      <c r="A13" s="2" t="s">
        <v>24</v>
      </c>
      <c r="B13" s="7"/>
      <c r="C13" s="7"/>
      <c r="D13" s="7">
        <f>+C38</f>
        <v>3965407</v>
      </c>
      <c r="E13" s="7">
        <v>7806543</v>
      </c>
      <c r="F13" s="7">
        <f>+C47</f>
        <v>1002654</v>
      </c>
      <c r="G13" s="7"/>
      <c r="H13" s="7">
        <f>+C133</f>
        <v>48439</v>
      </c>
      <c r="I13" s="22">
        <f t="shared" si="0"/>
        <v>12823043</v>
      </c>
      <c r="M13" s="145"/>
    </row>
    <row r="14" spans="1:13" ht="19.149999999999999" customHeight="1" x14ac:dyDescent="0.25">
      <c r="A14" s="2" t="s">
        <v>25</v>
      </c>
      <c r="B14" s="7"/>
      <c r="C14" s="7"/>
      <c r="D14" s="7"/>
      <c r="E14" s="7"/>
      <c r="F14" s="7"/>
      <c r="G14" s="7"/>
      <c r="H14" s="7">
        <f>+C136</f>
        <v>335935</v>
      </c>
      <c r="I14" s="22">
        <f t="shared" si="0"/>
        <v>335935</v>
      </c>
      <c r="M14" s="145"/>
    </row>
    <row r="15" spans="1:13" ht="19.149999999999999" customHeight="1" x14ac:dyDescent="0.25">
      <c r="A15" s="9" t="s">
        <v>26</v>
      </c>
      <c r="B15" s="8">
        <f t="shared" ref="B15:I15" si="1">SUM(B9:B14)</f>
        <v>422088</v>
      </c>
      <c r="C15" s="8">
        <f t="shared" si="1"/>
        <v>908477</v>
      </c>
      <c r="D15" s="8">
        <f t="shared" si="1"/>
        <v>11681408</v>
      </c>
      <c r="E15" s="8">
        <f t="shared" si="1"/>
        <v>7806543</v>
      </c>
      <c r="F15" s="8">
        <f t="shared" si="1"/>
        <v>1002654</v>
      </c>
      <c r="G15" s="8">
        <f t="shared" si="1"/>
        <v>362385</v>
      </c>
      <c r="H15" s="8">
        <f t="shared" si="1"/>
        <v>502942</v>
      </c>
      <c r="I15" s="23">
        <f t="shared" si="1"/>
        <v>22686497</v>
      </c>
    </row>
    <row r="16" spans="1:13" ht="19.149999999999999" customHeight="1" x14ac:dyDescent="0.25">
      <c r="A16" s="2" t="s">
        <v>27</v>
      </c>
      <c r="B16" s="7">
        <v>90011</v>
      </c>
      <c r="C16" s="7">
        <v>302826</v>
      </c>
      <c r="D16" s="18"/>
      <c r="I16" s="22">
        <f>SUM(B16:H16)</f>
        <v>392837</v>
      </c>
    </row>
    <row r="17" spans="1:9" ht="19.149999999999999" customHeight="1" x14ac:dyDescent="0.25">
      <c r="A17" s="2" t="s">
        <v>28</v>
      </c>
      <c r="B17" s="7">
        <v>388014</v>
      </c>
      <c r="C17" s="7"/>
      <c r="D17" s="7"/>
      <c r="E17" s="7"/>
      <c r="F17" s="7"/>
      <c r="G17" s="7"/>
      <c r="H17" s="7">
        <v>1789247</v>
      </c>
      <c r="I17" s="22">
        <f>SUM(B17:H17)</f>
        <v>2177261</v>
      </c>
    </row>
    <row r="18" spans="1:9" ht="15" customHeight="1" thickBot="1" x14ac:dyDescent="0.3">
      <c r="A18" s="10" t="s">
        <v>29</v>
      </c>
      <c r="B18" s="11">
        <f t="shared" ref="B18:I18" si="2">SUM(B15:B17)</f>
        <v>900113</v>
      </c>
      <c r="C18" s="11">
        <f t="shared" si="2"/>
        <v>1211303</v>
      </c>
      <c r="D18" s="11">
        <f t="shared" si="2"/>
        <v>11681408</v>
      </c>
      <c r="E18" s="11">
        <f t="shared" si="2"/>
        <v>7806543</v>
      </c>
      <c r="F18" s="11">
        <f t="shared" si="2"/>
        <v>1002654</v>
      </c>
      <c r="G18" s="11">
        <f t="shared" si="2"/>
        <v>362385</v>
      </c>
      <c r="H18" s="11">
        <f t="shared" si="2"/>
        <v>2292189</v>
      </c>
      <c r="I18" s="24">
        <f t="shared" si="2"/>
        <v>25256595</v>
      </c>
    </row>
    <row r="19" spans="1:9" ht="15" customHeight="1" x14ac:dyDescent="0.25">
      <c r="A19" s="75" t="s">
        <v>76</v>
      </c>
      <c r="B19" s="12"/>
      <c r="C19" s="13"/>
      <c r="D19" s="13"/>
      <c r="E19" s="13"/>
      <c r="F19" s="13"/>
      <c r="G19" s="13"/>
      <c r="H19" s="13"/>
    </row>
    <row r="20" spans="1:9" x14ac:dyDescent="0.25">
      <c r="B20" s="12"/>
      <c r="C20" s="13"/>
      <c r="D20" s="13"/>
      <c r="E20" s="13"/>
      <c r="F20" s="13"/>
    </row>
    <row r="21" spans="1:9" x14ac:dyDescent="0.25">
      <c r="A21" s="72" t="s">
        <v>77</v>
      </c>
      <c r="B21" s="12"/>
      <c r="C21" s="13"/>
      <c r="D21" s="13"/>
      <c r="E21" s="13"/>
      <c r="F21" s="13"/>
    </row>
    <row r="22" spans="1:9" x14ac:dyDescent="0.25">
      <c r="A22" s="2" t="s">
        <v>78</v>
      </c>
      <c r="B22" s="79">
        <f>B10</f>
        <v>422088</v>
      </c>
      <c r="C22" s="13"/>
      <c r="D22" s="13"/>
      <c r="E22" s="13"/>
      <c r="F22" s="13"/>
      <c r="G22" s="73"/>
    </row>
    <row r="23" spans="1:9" x14ac:dyDescent="0.25">
      <c r="A23" s="2" t="s">
        <v>79</v>
      </c>
      <c r="B23" s="79">
        <v>908477</v>
      </c>
      <c r="C23" s="13"/>
      <c r="D23" s="13"/>
      <c r="E23" s="13"/>
      <c r="F23" s="13"/>
    </row>
    <row r="24" spans="1:9" x14ac:dyDescent="0.25">
      <c r="A24" s="76" t="s">
        <v>80</v>
      </c>
      <c r="B24" s="74"/>
      <c r="C24" s="74">
        <f>SUM(B22:B23)</f>
        <v>1330565</v>
      </c>
      <c r="D24" s="13"/>
      <c r="E24" s="13"/>
      <c r="F24" s="13"/>
    </row>
    <row r="25" spans="1:9" x14ac:dyDescent="0.25">
      <c r="B25" s="12"/>
      <c r="C25" s="13"/>
      <c r="D25" s="13"/>
      <c r="E25" s="13"/>
      <c r="F25" s="13"/>
    </row>
    <row r="26" spans="1:9" x14ac:dyDescent="0.25">
      <c r="A26" s="72" t="s">
        <v>81</v>
      </c>
      <c r="B26" s="2"/>
      <c r="C26" s="2"/>
      <c r="D26" s="2"/>
      <c r="E26" s="13"/>
      <c r="F26" s="13"/>
    </row>
    <row r="27" spans="1:9" x14ac:dyDescent="0.25">
      <c r="A27" t="s">
        <v>82</v>
      </c>
      <c r="B27" s="2">
        <v>2046729</v>
      </c>
      <c r="C27" s="2"/>
      <c r="D27" s="2"/>
      <c r="E27" s="13"/>
      <c r="F27" s="13"/>
    </row>
    <row r="28" spans="1:9" x14ac:dyDescent="0.25">
      <c r="A28" t="s">
        <v>83</v>
      </c>
      <c r="B28" s="2">
        <v>806461</v>
      </c>
      <c r="C28" s="2"/>
      <c r="D28" s="2"/>
      <c r="E28" s="13"/>
      <c r="F28" s="13"/>
    </row>
    <row r="29" spans="1:9" x14ac:dyDescent="0.25">
      <c r="A29" t="s">
        <v>84</v>
      </c>
      <c r="B29" s="2">
        <v>1818850</v>
      </c>
      <c r="C29" s="2"/>
      <c r="D29" s="2"/>
      <c r="E29" s="13"/>
      <c r="F29" s="13"/>
    </row>
    <row r="30" spans="1:9" x14ac:dyDescent="0.25">
      <c r="A30" s="76" t="s">
        <v>80</v>
      </c>
      <c r="B30" s="74"/>
      <c r="C30" s="74">
        <f>SUM(B27:B29)</f>
        <v>4672040</v>
      </c>
      <c r="D30" s="2"/>
      <c r="E30" s="13"/>
      <c r="F30" s="13"/>
    </row>
    <row r="31" spans="1:9" x14ac:dyDescent="0.25">
      <c r="A31" t="s">
        <v>85</v>
      </c>
      <c r="B31" s="25">
        <v>685727</v>
      </c>
      <c r="C31" s="2"/>
      <c r="D31" s="2"/>
      <c r="E31" s="13"/>
      <c r="F31" s="13"/>
    </row>
    <row r="32" spans="1:9" x14ac:dyDescent="0.25">
      <c r="A32" t="s">
        <v>86</v>
      </c>
      <c r="B32" s="25">
        <v>514296</v>
      </c>
      <c r="C32" s="2"/>
      <c r="D32" s="2"/>
      <c r="E32" s="13"/>
      <c r="F32" s="13"/>
    </row>
    <row r="33" spans="1:6" x14ac:dyDescent="0.25">
      <c r="A33" t="s">
        <v>87</v>
      </c>
      <c r="B33" s="25">
        <v>1843938</v>
      </c>
      <c r="C33" s="2"/>
      <c r="D33" s="2"/>
      <c r="E33" s="13"/>
      <c r="F33" s="13"/>
    </row>
    <row r="34" spans="1:6" x14ac:dyDescent="0.25">
      <c r="A34" s="76" t="s">
        <v>88</v>
      </c>
      <c r="B34" s="74"/>
      <c r="C34" s="74">
        <f>SUM(B31:B33)</f>
        <v>3043961</v>
      </c>
      <c r="D34" s="2"/>
      <c r="E34" s="13"/>
      <c r="F34" s="13"/>
    </row>
    <row r="35" spans="1:6" x14ac:dyDescent="0.25">
      <c r="A35" s="2" t="s">
        <v>89</v>
      </c>
      <c r="B35" s="25">
        <v>3451111</v>
      </c>
      <c r="C35" s="2"/>
      <c r="D35" s="2"/>
      <c r="E35" s="13"/>
      <c r="F35" s="13"/>
    </row>
    <row r="36" spans="1:6" x14ac:dyDescent="0.25">
      <c r="A36" s="2" t="s">
        <v>90</v>
      </c>
      <c r="B36" s="25">
        <v>300006</v>
      </c>
      <c r="C36" s="2"/>
      <c r="D36" s="2"/>
      <c r="E36" s="13"/>
      <c r="F36" s="13"/>
    </row>
    <row r="37" spans="1:6" x14ac:dyDescent="0.25">
      <c r="A37" s="2" t="s">
        <v>91</v>
      </c>
      <c r="B37" s="25">
        <v>214290</v>
      </c>
      <c r="C37" s="2"/>
      <c r="D37" s="2"/>
      <c r="E37" s="13"/>
      <c r="F37" s="13"/>
    </row>
    <row r="38" spans="1:6" x14ac:dyDescent="0.25">
      <c r="A38" s="76" t="s">
        <v>92</v>
      </c>
      <c r="B38" s="74"/>
      <c r="C38" s="74">
        <f>SUM(B35:B37)</f>
        <v>3965407</v>
      </c>
      <c r="D38" s="2"/>
      <c r="E38" s="13"/>
      <c r="F38" s="13"/>
    </row>
    <row r="39" spans="1:6" x14ac:dyDescent="0.25">
      <c r="B39" s="2"/>
      <c r="C39" s="2"/>
      <c r="D39" s="2"/>
      <c r="E39" s="13"/>
      <c r="F39" s="13"/>
    </row>
    <row r="40" spans="1:6" x14ac:dyDescent="0.25">
      <c r="A40" s="72" t="s">
        <v>93</v>
      </c>
      <c r="B40" s="2"/>
      <c r="C40" s="2"/>
      <c r="D40" s="2"/>
      <c r="E40" s="13"/>
      <c r="F40" s="13"/>
    </row>
    <row r="41" spans="1:6" x14ac:dyDescent="0.25">
      <c r="A41" s="2" t="s">
        <v>94</v>
      </c>
      <c r="B41" s="2">
        <v>7806543</v>
      </c>
      <c r="C41" s="2"/>
      <c r="D41" s="2"/>
      <c r="E41" s="13"/>
      <c r="F41" s="13"/>
    </row>
    <row r="42" spans="1:6" x14ac:dyDescent="0.25">
      <c r="A42" s="76" t="s">
        <v>92</v>
      </c>
      <c r="B42" s="78"/>
      <c r="C42" s="78">
        <f>B41</f>
        <v>7806543</v>
      </c>
      <c r="D42" s="2"/>
      <c r="E42" s="13"/>
      <c r="F42" s="13"/>
    </row>
    <row r="43" spans="1:6" x14ac:dyDescent="0.25">
      <c r="B43" s="2"/>
      <c r="C43" s="2"/>
      <c r="D43" s="2"/>
      <c r="E43" s="13"/>
      <c r="F43" s="13"/>
    </row>
    <row r="44" spans="1:6" x14ac:dyDescent="0.25">
      <c r="A44" s="72" t="s">
        <v>95</v>
      </c>
      <c r="B44" s="2"/>
      <c r="C44" s="2"/>
      <c r="D44" s="2"/>
    </row>
    <row r="45" spans="1:6" x14ac:dyDescent="0.25">
      <c r="A45" s="2" t="s">
        <v>96</v>
      </c>
      <c r="B45" s="2">
        <v>966530</v>
      </c>
      <c r="C45" s="2"/>
      <c r="D45" s="2"/>
      <c r="F45" s="18"/>
    </row>
    <row r="46" spans="1:6" x14ac:dyDescent="0.25">
      <c r="A46" s="2" t="s">
        <v>97</v>
      </c>
      <c r="B46" s="2">
        <v>36124</v>
      </c>
      <c r="C46" s="2"/>
      <c r="D46" s="2"/>
    </row>
    <row r="47" spans="1:6" x14ac:dyDescent="0.25">
      <c r="A47" s="76" t="s">
        <v>92</v>
      </c>
      <c r="B47" s="74"/>
      <c r="C47" s="74">
        <f>SUM(B45:B46)</f>
        <v>1002654</v>
      </c>
    </row>
    <row r="48" spans="1:6" x14ac:dyDescent="0.25">
      <c r="A48" s="147" t="s">
        <v>98</v>
      </c>
      <c r="B48" s="2"/>
      <c r="C48" s="2"/>
    </row>
    <row r="50" spans="1:2" x14ac:dyDescent="0.25">
      <c r="A50" s="72" t="s">
        <v>99</v>
      </c>
    </row>
    <row r="51" spans="1:2" x14ac:dyDescent="0.25">
      <c r="A51" t="s">
        <v>100</v>
      </c>
      <c r="B51" s="2">
        <v>0</v>
      </c>
    </row>
    <row r="52" spans="1:2" x14ac:dyDescent="0.25">
      <c r="A52" t="s">
        <v>101</v>
      </c>
      <c r="B52" s="2">
        <v>1640</v>
      </c>
    </row>
    <row r="53" spans="1:2" x14ac:dyDescent="0.25">
      <c r="A53" t="s">
        <v>102</v>
      </c>
      <c r="B53" s="2">
        <v>2235</v>
      </c>
    </row>
    <row r="54" spans="1:2" x14ac:dyDescent="0.25">
      <c r="A54" t="s">
        <v>103</v>
      </c>
      <c r="B54" s="2">
        <v>5008</v>
      </c>
    </row>
    <row r="55" spans="1:2" x14ac:dyDescent="0.25">
      <c r="A55" t="s">
        <v>104</v>
      </c>
      <c r="B55" s="2">
        <v>4580</v>
      </c>
    </row>
    <row r="56" spans="1:2" x14ac:dyDescent="0.25">
      <c r="A56" t="s">
        <v>105</v>
      </c>
      <c r="B56" s="2">
        <v>660</v>
      </c>
    </row>
    <row r="57" spans="1:2" x14ac:dyDescent="0.25">
      <c r="A57" t="s">
        <v>106</v>
      </c>
      <c r="B57" s="2">
        <v>7469</v>
      </c>
    </row>
    <row r="58" spans="1:2" x14ac:dyDescent="0.25">
      <c r="A58" t="s">
        <v>107</v>
      </c>
      <c r="B58" s="2">
        <v>1708</v>
      </c>
    </row>
    <row r="59" spans="1:2" x14ac:dyDescent="0.25">
      <c r="A59" t="s">
        <v>108</v>
      </c>
      <c r="B59" s="2">
        <v>13486</v>
      </c>
    </row>
    <row r="60" spans="1:2" x14ac:dyDescent="0.25">
      <c r="A60" t="s">
        <v>109</v>
      </c>
      <c r="B60" s="2">
        <v>8340</v>
      </c>
    </row>
    <row r="61" spans="1:2" x14ac:dyDescent="0.25">
      <c r="A61" t="s">
        <v>110</v>
      </c>
      <c r="B61" s="2">
        <v>7996</v>
      </c>
    </row>
    <row r="62" spans="1:2" x14ac:dyDescent="0.25">
      <c r="A62" t="s">
        <v>111</v>
      </c>
      <c r="B62" s="2">
        <v>5398</v>
      </c>
    </row>
    <row r="63" spans="1:2" x14ac:dyDescent="0.25">
      <c r="A63" t="s">
        <v>112</v>
      </c>
      <c r="B63" s="2">
        <v>17269</v>
      </c>
    </row>
    <row r="64" spans="1:2" x14ac:dyDescent="0.25">
      <c r="A64" t="s">
        <v>113</v>
      </c>
      <c r="B64" s="2">
        <v>6136</v>
      </c>
    </row>
    <row r="65" spans="1:2" x14ac:dyDescent="0.25">
      <c r="A65" t="s">
        <v>114</v>
      </c>
      <c r="B65" s="2">
        <v>460</v>
      </c>
    </row>
    <row r="66" spans="1:2" x14ac:dyDescent="0.25">
      <c r="A66" t="s">
        <v>115</v>
      </c>
      <c r="B66" s="2">
        <v>2480</v>
      </c>
    </row>
    <row r="67" spans="1:2" x14ac:dyDescent="0.25">
      <c r="A67" t="s">
        <v>116</v>
      </c>
      <c r="B67" s="2">
        <v>2400</v>
      </c>
    </row>
    <row r="68" spans="1:2" x14ac:dyDescent="0.25">
      <c r="A68" t="s">
        <v>117</v>
      </c>
      <c r="B68" s="2">
        <v>0</v>
      </c>
    </row>
    <row r="69" spans="1:2" x14ac:dyDescent="0.25">
      <c r="A69" t="s">
        <v>118</v>
      </c>
      <c r="B69" s="2">
        <v>0</v>
      </c>
    </row>
    <row r="70" spans="1:2" x14ac:dyDescent="0.25">
      <c r="A70" t="s">
        <v>119</v>
      </c>
      <c r="B70" s="2">
        <v>0</v>
      </c>
    </row>
    <row r="71" spans="1:2" x14ac:dyDescent="0.25">
      <c r="A71" t="s">
        <v>120</v>
      </c>
      <c r="B71" s="2">
        <v>2847</v>
      </c>
    </row>
    <row r="72" spans="1:2" x14ac:dyDescent="0.25">
      <c r="A72" t="s">
        <v>121</v>
      </c>
      <c r="B72" s="2">
        <v>1755</v>
      </c>
    </row>
    <row r="73" spans="1:2" x14ac:dyDescent="0.25">
      <c r="A73" t="s">
        <v>122</v>
      </c>
      <c r="B73" s="2">
        <v>360</v>
      </c>
    </row>
    <row r="74" spans="1:2" x14ac:dyDescent="0.25">
      <c r="A74" t="s">
        <v>123</v>
      </c>
      <c r="B74" s="2">
        <v>38082</v>
      </c>
    </row>
    <row r="75" spans="1:2" x14ac:dyDescent="0.25">
      <c r="A75" t="s">
        <v>124</v>
      </c>
      <c r="B75" s="2">
        <v>21765</v>
      </c>
    </row>
    <row r="76" spans="1:2" x14ac:dyDescent="0.25">
      <c r="A76" t="s">
        <v>125</v>
      </c>
      <c r="B76" s="2">
        <v>7283</v>
      </c>
    </row>
    <row r="77" spans="1:2" x14ac:dyDescent="0.25">
      <c r="A77" t="s">
        <v>126</v>
      </c>
      <c r="B77" s="2">
        <v>8086</v>
      </c>
    </row>
    <row r="78" spans="1:2" x14ac:dyDescent="0.25">
      <c r="A78" t="s">
        <v>127</v>
      </c>
      <c r="B78" s="2">
        <v>11037</v>
      </c>
    </row>
    <row r="79" spans="1:2" x14ac:dyDescent="0.25">
      <c r="A79" t="s">
        <v>128</v>
      </c>
      <c r="B79" s="2">
        <v>6608</v>
      </c>
    </row>
    <row r="80" spans="1:2" x14ac:dyDescent="0.25">
      <c r="A80" t="s">
        <v>129</v>
      </c>
      <c r="B80" s="2">
        <v>7018</v>
      </c>
    </row>
    <row r="81" spans="1:2" x14ac:dyDescent="0.25">
      <c r="A81" t="s">
        <v>130</v>
      </c>
      <c r="B81" s="2">
        <v>0</v>
      </c>
    </row>
    <row r="82" spans="1:2" x14ac:dyDescent="0.25">
      <c r="A82" t="s">
        <v>131</v>
      </c>
      <c r="B82" s="2">
        <v>5979</v>
      </c>
    </row>
    <row r="83" spans="1:2" x14ac:dyDescent="0.25">
      <c r="A83" t="s">
        <v>132</v>
      </c>
      <c r="B83" s="2">
        <v>618</v>
      </c>
    </row>
    <row r="84" spans="1:2" x14ac:dyDescent="0.25">
      <c r="A84" t="s">
        <v>133</v>
      </c>
      <c r="B84" s="2">
        <v>12783</v>
      </c>
    </row>
    <row r="85" spans="1:2" x14ac:dyDescent="0.25">
      <c r="A85" t="s">
        <v>134</v>
      </c>
      <c r="B85" s="2">
        <v>24150</v>
      </c>
    </row>
    <row r="86" spans="1:2" x14ac:dyDescent="0.25">
      <c r="A86" t="s">
        <v>135</v>
      </c>
      <c r="B86" s="2">
        <v>15094</v>
      </c>
    </row>
    <row r="87" spans="1:2" x14ac:dyDescent="0.25">
      <c r="A87" t="s">
        <v>136</v>
      </c>
      <c r="B87" s="2">
        <v>35908</v>
      </c>
    </row>
    <row r="88" spans="1:2" x14ac:dyDescent="0.25">
      <c r="A88" t="s">
        <v>137</v>
      </c>
      <c r="B88" s="2">
        <v>0</v>
      </c>
    </row>
    <row r="89" spans="1:2" x14ac:dyDescent="0.25">
      <c r="A89" t="s">
        <v>138</v>
      </c>
      <c r="B89" s="2">
        <v>2450</v>
      </c>
    </row>
    <row r="90" spans="1:2" x14ac:dyDescent="0.25">
      <c r="A90" t="s">
        <v>139</v>
      </c>
      <c r="B90" s="2">
        <v>2250</v>
      </c>
    </row>
    <row r="91" spans="1:2" x14ac:dyDescent="0.25">
      <c r="A91" t="s">
        <v>140</v>
      </c>
      <c r="B91" s="2">
        <v>21513</v>
      </c>
    </row>
    <row r="92" spans="1:2" x14ac:dyDescent="0.25">
      <c r="A92" t="s">
        <v>141</v>
      </c>
      <c r="B92" s="2">
        <v>1783</v>
      </c>
    </row>
    <row r="93" spans="1:2" x14ac:dyDescent="0.25">
      <c r="A93" t="s">
        <v>142</v>
      </c>
      <c r="B93" s="2">
        <v>2603</v>
      </c>
    </row>
    <row r="94" spans="1:2" x14ac:dyDescent="0.25">
      <c r="A94" t="s">
        <v>143</v>
      </c>
      <c r="B94" s="2">
        <v>6550</v>
      </c>
    </row>
    <row r="95" spans="1:2" x14ac:dyDescent="0.25">
      <c r="A95" t="s">
        <v>144</v>
      </c>
      <c r="B95" s="2">
        <v>383</v>
      </c>
    </row>
    <row r="96" spans="1:2" x14ac:dyDescent="0.25">
      <c r="A96" t="s">
        <v>145</v>
      </c>
      <c r="B96" s="2">
        <v>3008</v>
      </c>
    </row>
    <row r="97" spans="1:3" x14ac:dyDescent="0.25">
      <c r="A97" t="s">
        <v>146</v>
      </c>
      <c r="B97" s="2">
        <v>4150</v>
      </c>
    </row>
    <row r="98" spans="1:3" x14ac:dyDescent="0.25">
      <c r="A98" t="s">
        <v>147</v>
      </c>
      <c r="B98" s="2">
        <v>3476</v>
      </c>
    </row>
    <row r="99" spans="1:3" x14ac:dyDescent="0.25">
      <c r="A99" t="s">
        <v>148</v>
      </c>
      <c r="B99" s="2">
        <v>0</v>
      </c>
    </row>
    <row r="100" spans="1:3" x14ac:dyDescent="0.25">
      <c r="A100" t="s">
        <v>149</v>
      </c>
      <c r="B100" s="2">
        <v>4150</v>
      </c>
    </row>
    <row r="101" spans="1:3" x14ac:dyDescent="0.25">
      <c r="A101" t="s">
        <v>150</v>
      </c>
      <c r="B101" s="2">
        <v>3426</v>
      </c>
    </row>
    <row r="102" spans="1:3" x14ac:dyDescent="0.25">
      <c r="A102" t="s">
        <v>151</v>
      </c>
      <c r="B102" s="2">
        <v>4375</v>
      </c>
    </row>
    <row r="103" spans="1:3" x14ac:dyDescent="0.25">
      <c r="A103" t="s">
        <v>152</v>
      </c>
      <c r="B103" s="2">
        <v>1280</v>
      </c>
    </row>
    <row r="104" spans="1:3" x14ac:dyDescent="0.25">
      <c r="A104" t="s">
        <v>153</v>
      </c>
      <c r="B104" s="2">
        <v>700</v>
      </c>
    </row>
    <row r="105" spans="1:3" x14ac:dyDescent="0.25">
      <c r="A105" t="s">
        <v>154</v>
      </c>
      <c r="B105" s="2">
        <v>500</v>
      </c>
    </row>
    <row r="106" spans="1:3" x14ac:dyDescent="0.25">
      <c r="A106" t="s">
        <v>155</v>
      </c>
      <c r="B106" s="2">
        <v>4250</v>
      </c>
    </row>
    <row r="107" spans="1:3" x14ac:dyDescent="0.25">
      <c r="A107" t="s">
        <v>156</v>
      </c>
      <c r="B107" s="2">
        <v>6400</v>
      </c>
    </row>
    <row r="108" spans="1:3" x14ac:dyDescent="0.25">
      <c r="A108" t="s">
        <v>157</v>
      </c>
      <c r="B108" s="2">
        <v>2500</v>
      </c>
    </row>
    <row r="109" spans="1:3" x14ac:dyDescent="0.25">
      <c r="A109" s="76" t="s">
        <v>80</v>
      </c>
      <c r="B109" s="74"/>
      <c r="C109" s="74">
        <f>SUM(B51:B108)</f>
        <v>362385</v>
      </c>
    </row>
    <row r="110" spans="1:3" x14ac:dyDescent="0.25">
      <c r="A110" s="147" t="s">
        <v>158</v>
      </c>
      <c r="B110" s="2"/>
      <c r="C110" s="2"/>
    </row>
    <row r="111" spans="1:3" x14ac:dyDescent="0.25">
      <c r="A111" s="147" t="s">
        <v>159</v>
      </c>
      <c r="B111" s="2"/>
      <c r="C111" s="2"/>
    </row>
    <row r="113" spans="1:3" x14ac:dyDescent="0.25">
      <c r="A113" s="72" t="s">
        <v>160</v>
      </c>
    </row>
    <row r="114" spans="1:3" x14ac:dyDescent="0.25">
      <c r="A114" t="s">
        <v>161</v>
      </c>
      <c r="B114" s="77">
        <v>7220</v>
      </c>
      <c r="C114" s="77"/>
    </row>
    <row r="115" spans="1:3" x14ac:dyDescent="0.25">
      <c r="A115" t="s">
        <v>162</v>
      </c>
      <c r="B115" s="77">
        <v>85808</v>
      </c>
      <c r="C115" s="77"/>
    </row>
    <row r="116" spans="1:3" x14ac:dyDescent="0.25">
      <c r="A116" t="s">
        <v>163</v>
      </c>
      <c r="B116" s="77"/>
      <c r="C116" s="77"/>
    </row>
    <row r="117" spans="1:3" x14ac:dyDescent="0.25">
      <c r="A117" t="s">
        <v>164</v>
      </c>
      <c r="B117" s="77"/>
      <c r="C117" s="77"/>
    </row>
    <row r="118" spans="1:3" x14ac:dyDescent="0.25">
      <c r="A118" t="s">
        <v>165</v>
      </c>
      <c r="B118" s="77"/>
      <c r="C118" s="77"/>
    </row>
    <row r="119" spans="1:3" x14ac:dyDescent="0.25">
      <c r="A119" t="s">
        <v>166</v>
      </c>
      <c r="B119" s="77"/>
      <c r="C119" s="77"/>
    </row>
    <row r="120" spans="1:3" x14ac:dyDescent="0.25">
      <c r="A120" t="s">
        <v>167</v>
      </c>
      <c r="B120" s="77">
        <v>225</v>
      </c>
      <c r="C120" s="77"/>
    </row>
    <row r="121" spans="1:3" x14ac:dyDescent="0.25">
      <c r="A121" t="s">
        <v>168</v>
      </c>
      <c r="B121" s="77">
        <v>16144</v>
      </c>
      <c r="C121" s="77"/>
    </row>
    <row r="122" spans="1:3" x14ac:dyDescent="0.25">
      <c r="A122" t="s">
        <v>169</v>
      </c>
      <c r="B122" s="77"/>
      <c r="C122" s="77"/>
    </row>
    <row r="123" spans="1:3" x14ac:dyDescent="0.25">
      <c r="A123" t="s">
        <v>170</v>
      </c>
      <c r="B123" s="77">
        <v>0</v>
      </c>
      <c r="C123" s="77"/>
    </row>
    <row r="124" spans="1:3" x14ac:dyDescent="0.25">
      <c r="A124" t="s">
        <v>171</v>
      </c>
      <c r="B124" s="77"/>
      <c r="C124" s="77"/>
    </row>
    <row r="125" spans="1:3" x14ac:dyDescent="0.25">
      <c r="A125" t="s">
        <v>172</v>
      </c>
      <c r="B125" s="77">
        <v>6485</v>
      </c>
      <c r="C125" s="77"/>
    </row>
    <row r="126" spans="1:3" x14ac:dyDescent="0.25">
      <c r="A126" t="s">
        <v>173</v>
      </c>
      <c r="B126" s="77"/>
      <c r="C126" s="77"/>
    </row>
    <row r="127" spans="1:3" x14ac:dyDescent="0.25">
      <c r="A127" s="76" t="s">
        <v>80</v>
      </c>
      <c r="B127" s="74"/>
      <c r="C127" s="74">
        <f>SUM(B114:B126)</f>
        <v>115882</v>
      </c>
    </row>
    <row r="128" spans="1:3" x14ac:dyDescent="0.25">
      <c r="A128" s="76"/>
      <c r="B128" s="2"/>
      <c r="C128" s="2"/>
    </row>
    <row r="129" spans="1:3" x14ac:dyDescent="0.25">
      <c r="A129" t="s">
        <v>174</v>
      </c>
      <c r="B129" s="77">
        <v>2686</v>
      </c>
      <c r="C129" s="77"/>
    </row>
    <row r="130" spans="1:3" x14ac:dyDescent="0.25">
      <c r="A130" s="76" t="s">
        <v>175</v>
      </c>
      <c r="B130" s="78"/>
      <c r="C130" s="78">
        <f>B129</f>
        <v>2686</v>
      </c>
    </row>
    <row r="131" spans="1:3" x14ac:dyDescent="0.25">
      <c r="A131" s="76"/>
      <c r="B131" s="104"/>
      <c r="C131" s="104"/>
    </row>
    <row r="132" spans="1:3" x14ac:dyDescent="0.25">
      <c r="A132" t="s">
        <v>176</v>
      </c>
      <c r="B132" s="77">
        <f>36029+12410</f>
        <v>48439</v>
      </c>
      <c r="C132" s="77"/>
    </row>
    <row r="133" spans="1:3" x14ac:dyDescent="0.25">
      <c r="A133" s="76" t="s">
        <v>92</v>
      </c>
      <c r="B133" s="78"/>
      <c r="C133" s="78">
        <f>B132</f>
        <v>48439</v>
      </c>
    </row>
    <row r="134" spans="1:3" x14ac:dyDescent="0.25">
      <c r="A134" s="76"/>
      <c r="B134" s="104"/>
      <c r="C134" s="104"/>
    </row>
    <row r="135" spans="1:3" x14ac:dyDescent="0.25">
      <c r="A135" t="s">
        <v>177</v>
      </c>
      <c r="B135" s="77">
        <v>335935</v>
      </c>
      <c r="C135" s="77"/>
    </row>
    <row r="136" spans="1:3" x14ac:dyDescent="0.25">
      <c r="A136" s="76" t="s">
        <v>178</v>
      </c>
      <c r="B136" s="78"/>
      <c r="C136" s="78">
        <f>B135</f>
        <v>335935</v>
      </c>
    </row>
  </sheetData>
  <mergeCells count="1">
    <mergeCell ref="B5:H5"/>
  </mergeCells>
  <printOptions horizontalCentered="1"/>
  <pageMargins left="0.5" right="0.5" top="0.5" bottom="0.5" header="0.3" footer="0.3"/>
  <pageSetup scale="91" fitToHeight="0" orientation="landscape" r:id="rId1"/>
  <headerFooter>
    <oddFooter>&amp;L&amp;8&amp;D&amp;C&amp;8&amp;P&amp;R&amp;8&amp;A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CCAC7-C105-437B-A563-68EABD1C490D}">
  <sheetPr>
    <tabColor rgb="FFFFC000"/>
    <pageSetUpPr fitToPage="1"/>
  </sheetPr>
  <dimension ref="A1:M46"/>
  <sheetViews>
    <sheetView topLeftCell="A2" workbookViewId="0">
      <selection activeCell="L20" sqref="L20"/>
    </sheetView>
  </sheetViews>
  <sheetFormatPr defaultColWidth="8.85546875" defaultRowHeight="15" x14ac:dyDescent="0.25"/>
  <cols>
    <col min="1" max="1" width="23.5703125" style="2" customWidth="1"/>
    <col min="2" max="2" width="13.85546875" style="1" customWidth="1"/>
    <col min="3" max="3" width="12.42578125" style="1" customWidth="1"/>
    <col min="4" max="4" width="14.28515625" style="1" customWidth="1"/>
    <col min="5" max="5" width="12.42578125" style="1" customWidth="1"/>
    <col min="6" max="6" width="15" style="1" customWidth="1"/>
    <col min="7" max="7" width="14.85546875" style="1" customWidth="1"/>
    <col min="8" max="8" width="14.5703125" style="1" customWidth="1"/>
    <col min="9" max="9" width="14.140625" style="1" customWidth="1"/>
    <col min="10" max="10" width="14.42578125" style="1" customWidth="1"/>
    <col min="11" max="11" width="15.28515625" style="1" customWidth="1"/>
    <col min="12" max="12" width="14.28515625" style="2" customWidth="1"/>
    <col min="13" max="13" width="11" style="2" bestFit="1" customWidth="1"/>
    <col min="14" max="14" width="22.85546875" style="2" bestFit="1" customWidth="1"/>
    <col min="15" max="16" width="19.42578125" style="2" customWidth="1"/>
    <col min="17" max="17" width="31.85546875" style="2" customWidth="1"/>
    <col min="18" max="16384" width="8.85546875" style="2"/>
  </cols>
  <sheetData>
    <row r="1" spans="1:13" ht="25.9" customHeight="1" x14ac:dyDescent="0.4">
      <c r="A1" s="3"/>
      <c r="H1" s="26"/>
      <c r="I1" s="26"/>
      <c r="J1" s="26"/>
      <c r="K1" s="26"/>
      <c r="M1" s="27"/>
    </row>
    <row r="2" spans="1:13" ht="25.9" customHeight="1" x14ac:dyDescent="0.3">
      <c r="A2" s="3"/>
      <c r="H2" s="6"/>
      <c r="I2" s="6"/>
      <c r="J2" s="6"/>
      <c r="K2" s="6"/>
      <c r="L2" s="28"/>
      <c r="M2" s="28"/>
    </row>
    <row r="3" spans="1:13" ht="18.75" customHeight="1" x14ac:dyDescent="0.3">
      <c r="A3" s="3" t="s">
        <v>179</v>
      </c>
      <c r="I3" s="6"/>
      <c r="J3" s="6"/>
      <c r="L3" s="6" t="str">
        <f>+'Attachment A - Base'!J3</f>
        <v>BPA #24-01R</v>
      </c>
      <c r="M3" s="28"/>
    </row>
    <row r="4" spans="1:13" ht="20.100000000000001" customHeight="1" x14ac:dyDescent="0.3">
      <c r="A4" s="17">
        <f>+'Attachment A - Base'!A4</f>
        <v>45527</v>
      </c>
      <c r="L4" s="29"/>
      <c r="M4" s="29"/>
    </row>
    <row r="5" spans="1:13" x14ac:dyDescent="0.25">
      <c r="B5" s="160" t="s">
        <v>2</v>
      </c>
      <c r="C5" s="161"/>
      <c r="D5" s="161"/>
      <c r="E5" s="161"/>
      <c r="F5" s="161"/>
      <c r="G5" s="162"/>
      <c r="H5" s="157" t="s">
        <v>3</v>
      </c>
      <c r="I5" s="158"/>
      <c r="J5" s="159"/>
      <c r="K5" s="48" t="s">
        <v>4</v>
      </c>
      <c r="L5" s="48" t="s">
        <v>5</v>
      </c>
    </row>
    <row r="6" spans="1:13" x14ac:dyDescent="0.25">
      <c r="B6" s="163" t="s">
        <v>6</v>
      </c>
      <c r="C6" s="164"/>
      <c r="D6" s="164"/>
      <c r="E6" s="164"/>
      <c r="F6" s="164"/>
      <c r="G6" s="167"/>
      <c r="H6" s="168" t="s">
        <v>6</v>
      </c>
      <c r="I6" s="169"/>
      <c r="J6" s="170"/>
      <c r="K6" s="49" t="s">
        <v>6</v>
      </c>
      <c r="L6" s="49" t="s">
        <v>7</v>
      </c>
    </row>
    <row r="7" spans="1:13" x14ac:dyDescent="0.25">
      <c r="B7" s="1">
        <v>-1</v>
      </c>
      <c r="C7" s="1">
        <v>-2</v>
      </c>
      <c r="D7" s="30"/>
      <c r="E7" s="1">
        <v>-3</v>
      </c>
      <c r="F7" s="36">
        <v>-4</v>
      </c>
      <c r="G7" s="30"/>
      <c r="H7" s="58">
        <v>-5</v>
      </c>
      <c r="I7" s="1">
        <v>-6</v>
      </c>
      <c r="J7" s="50"/>
      <c r="K7" s="59"/>
      <c r="L7" s="37"/>
    </row>
    <row r="8" spans="1:13" ht="60.75" thickBot="1" x14ac:dyDescent="0.3">
      <c r="A8" s="4"/>
      <c r="B8" s="5" t="s">
        <v>180</v>
      </c>
      <c r="C8" s="5" t="s">
        <v>181</v>
      </c>
      <c r="D8" s="31" t="s">
        <v>182</v>
      </c>
      <c r="E8" s="5" t="s">
        <v>461</v>
      </c>
      <c r="F8" s="5" t="s">
        <v>183</v>
      </c>
      <c r="G8" s="31" t="s">
        <v>184</v>
      </c>
      <c r="H8" s="51" t="s">
        <v>185</v>
      </c>
      <c r="I8" s="45" t="s">
        <v>186</v>
      </c>
      <c r="J8" s="52" t="s">
        <v>184</v>
      </c>
      <c r="K8" s="41" t="s">
        <v>184</v>
      </c>
      <c r="L8" s="41" t="s">
        <v>7</v>
      </c>
    </row>
    <row r="9" spans="1:13" ht="19.149999999999999" customHeight="1" x14ac:dyDescent="0.25">
      <c r="A9" s="14"/>
      <c r="B9" s="14"/>
      <c r="C9" s="14"/>
      <c r="D9" s="115"/>
      <c r="E9" s="14"/>
      <c r="F9" s="14" t="s">
        <v>187</v>
      </c>
      <c r="G9" s="43"/>
      <c r="H9" s="32" t="s">
        <v>188</v>
      </c>
      <c r="I9" s="42" t="s">
        <v>188</v>
      </c>
      <c r="J9" s="38"/>
      <c r="K9" s="38" t="s">
        <v>189</v>
      </c>
      <c r="L9" s="38"/>
    </row>
    <row r="10" spans="1:13" ht="17.45" customHeight="1" x14ac:dyDescent="0.25">
      <c r="A10" s="25" t="s">
        <v>20</v>
      </c>
      <c r="B10" s="7">
        <v>1366384</v>
      </c>
      <c r="C10" s="7">
        <f>-298491+84549</f>
        <v>-213942</v>
      </c>
      <c r="D10" s="116">
        <f>SUM(B10:C10)</f>
        <v>1152442</v>
      </c>
      <c r="E10" s="7">
        <v>550000</v>
      </c>
      <c r="F10" s="7">
        <v>120311</v>
      </c>
      <c r="G10" s="44">
        <f>SUM(D10:F10)</f>
        <v>1822753</v>
      </c>
      <c r="H10" s="7">
        <f>+'Attachment E - Desig One-Time'!I9</f>
        <v>245876</v>
      </c>
      <c r="I10" s="7">
        <f>+'Attachment E - Desig One-Time'!J9</f>
        <v>0</v>
      </c>
      <c r="J10" s="53">
        <f>SUM(H10:I10)</f>
        <v>245876</v>
      </c>
      <c r="K10" s="53">
        <f>+'Attachment F - Fees One-Time'!J9</f>
        <v>0</v>
      </c>
      <c r="L10" s="53">
        <f t="shared" ref="L10:L15" si="0">+G10+J10+K10</f>
        <v>2068629</v>
      </c>
      <c r="M10" s="33"/>
    </row>
    <row r="11" spans="1:13" ht="17.45" customHeight="1" x14ac:dyDescent="0.25">
      <c r="A11" s="25" t="s">
        <v>21</v>
      </c>
      <c r="B11" s="7">
        <v>2182298</v>
      </c>
      <c r="C11" s="7">
        <v>-220269</v>
      </c>
      <c r="D11" s="116">
        <f t="shared" ref="D11:D18" si="1">SUM(B11:C11)</f>
        <v>1962029</v>
      </c>
      <c r="E11" s="7"/>
      <c r="F11" s="7">
        <v>2342001</v>
      </c>
      <c r="G11" s="44">
        <f t="shared" ref="G11:G15" si="2">SUM(D11:F11)</f>
        <v>4304030</v>
      </c>
      <c r="H11" s="7">
        <f>+'Attachment E - Desig One-Time'!I10</f>
        <v>7262089</v>
      </c>
      <c r="I11" s="7">
        <f>+'Attachment E - Desig One-Time'!J10</f>
        <v>2848000</v>
      </c>
      <c r="J11" s="53">
        <f t="shared" ref="J11:J18" si="3">SUM(H11:I11)</f>
        <v>10110089</v>
      </c>
      <c r="K11" s="53">
        <f>+'Attachment F - Fees One-Time'!J10</f>
        <v>3802241</v>
      </c>
      <c r="L11" s="53">
        <f t="shared" si="0"/>
        <v>18216360</v>
      </c>
      <c r="M11" s="33"/>
    </row>
    <row r="12" spans="1:13" ht="17.45" customHeight="1" x14ac:dyDescent="0.25">
      <c r="A12" s="25" t="s">
        <v>22</v>
      </c>
      <c r="B12" s="7">
        <f>9816691+1</f>
        <v>9816692</v>
      </c>
      <c r="C12" s="7"/>
      <c r="D12" s="116">
        <f t="shared" si="1"/>
        <v>9816692</v>
      </c>
      <c r="E12" s="7"/>
      <c r="F12" s="7">
        <v>217178</v>
      </c>
      <c r="G12" s="44">
        <f t="shared" si="2"/>
        <v>10033870</v>
      </c>
      <c r="H12" s="7">
        <f>+'Attachment E - Desig One-Time'!I11</f>
        <v>160006</v>
      </c>
      <c r="I12" s="7">
        <f>+'Attachment E - Desig One-Time'!J11</f>
        <v>0</v>
      </c>
      <c r="J12" s="53">
        <f t="shared" si="3"/>
        <v>160006</v>
      </c>
      <c r="K12" s="53">
        <f>+'Attachment F - Fees One-Time'!J11</f>
        <v>2525</v>
      </c>
      <c r="L12" s="53">
        <f t="shared" si="0"/>
        <v>10196401</v>
      </c>
      <c r="M12" s="33"/>
    </row>
    <row r="13" spans="1:13" ht="17.45" customHeight="1" x14ac:dyDescent="0.25">
      <c r="A13" s="25" t="s">
        <v>23</v>
      </c>
      <c r="B13" s="7">
        <v>1311242</v>
      </c>
      <c r="C13" s="7">
        <v>-6510</v>
      </c>
      <c r="D13" s="116">
        <f t="shared" si="1"/>
        <v>1304732</v>
      </c>
      <c r="E13" s="7">
        <v>660000</v>
      </c>
      <c r="F13" s="7">
        <v>162265</v>
      </c>
      <c r="G13" s="44">
        <f t="shared" si="2"/>
        <v>2126997</v>
      </c>
      <c r="H13" s="7">
        <f>+'Attachment E - Desig One-Time'!I12</f>
        <v>-22469</v>
      </c>
      <c r="I13" s="7">
        <f>+'Attachment E - Desig One-Time'!J12</f>
        <v>0</v>
      </c>
      <c r="J13" s="53">
        <f t="shared" si="3"/>
        <v>-22469</v>
      </c>
      <c r="K13" s="53">
        <f>+'Attachment F - Fees One-Time'!J12</f>
        <v>638712</v>
      </c>
      <c r="L13" s="53">
        <f t="shared" si="0"/>
        <v>2743240</v>
      </c>
      <c r="M13" s="33"/>
    </row>
    <row r="14" spans="1:13" ht="17.45" customHeight="1" x14ac:dyDescent="0.25">
      <c r="A14" s="25" t="s">
        <v>24</v>
      </c>
      <c r="B14" s="7">
        <v>1749148</v>
      </c>
      <c r="C14" s="7"/>
      <c r="D14" s="116">
        <f t="shared" si="1"/>
        <v>1749148</v>
      </c>
      <c r="E14" s="7"/>
      <c r="F14" s="7">
        <v>126589</v>
      </c>
      <c r="G14" s="44">
        <f t="shared" si="2"/>
        <v>1875737</v>
      </c>
      <c r="H14" s="7">
        <f>+'Attachment E - Desig One-Time'!I13</f>
        <v>4715799</v>
      </c>
      <c r="I14" s="7">
        <f>+'Attachment E - Desig One-Time'!J13</f>
        <v>0</v>
      </c>
      <c r="J14" s="53">
        <f t="shared" si="3"/>
        <v>4715799</v>
      </c>
      <c r="K14" s="53">
        <f>+'Attachment F - Fees One-Time'!J13</f>
        <v>6820257</v>
      </c>
      <c r="L14" s="53">
        <f t="shared" si="0"/>
        <v>13411793</v>
      </c>
      <c r="M14" s="33"/>
    </row>
    <row r="15" spans="1:13" ht="17.45" customHeight="1" x14ac:dyDescent="0.25">
      <c r="A15" s="25" t="s">
        <v>25</v>
      </c>
      <c r="B15" s="7">
        <v>1138535</v>
      </c>
      <c r="C15" s="7">
        <v>298491</v>
      </c>
      <c r="D15" s="116">
        <f t="shared" si="1"/>
        <v>1437026</v>
      </c>
      <c r="E15" s="7"/>
      <c r="F15" s="7">
        <v>52477</v>
      </c>
      <c r="G15" s="44">
        <f t="shared" si="2"/>
        <v>1489503</v>
      </c>
      <c r="H15" s="7">
        <f>+'Attachment E - Desig One-Time'!I14</f>
        <v>20000</v>
      </c>
      <c r="I15" s="7">
        <f>+'Attachment E - Desig One-Time'!J14</f>
        <v>0</v>
      </c>
      <c r="J15" s="53">
        <f t="shared" si="3"/>
        <v>20000</v>
      </c>
      <c r="K15" s="53">
        <f>+'Attachment F - Fees One-Time'!J14</f>
        <v>111024</v>
      </c>
      <c r="L15" s="53">
        <f t="shared" si="0"/>
        <v>1620527</v>
      </c>
      <c r="M15" s="33"/>
    </row>
    <row r="16" spans="1:13" ht="17.45" customHeight="1" x14ac:dyDescent="0.25">
      <c r="A16" s="54" t="s">
        <v>26</v>
      </c>
      <c r="B16" s="8">
        <f t="shared" ref="B16:J16" si="4">SUM(B10:B15)</f>
        <v>17564299</v>
      </c>
      <c r="C16" s="8">
        <f t="shared" si="4"/>
        <v>-142230</v>
      </c>
      <c r="D16" s="117">
        <f>SUM(D10:D15)</f>
        <v>17422069</v>
      </c>
      <c r="E16" s="8">
        <f t="shared" si="4"/>
        <v>1210000</v>
      </c>
      <c r="F16" s="8">
        <f t="shared" si="4"/>
        <v>3020821</v>
      </c>
      <c r="G16" s="39">
        <f t="shared" si="4"/>
        <v>21652890</v>
      </c>
      <c r="H16" s="8">
        <f t="shared" si="4"/>
        <v>12381301</v>
      </c>
      <c r="I16" s="8">
        <f>SUM(I10:I15)</f>
        <v>2848000</v>
      </c>
      <c r="J16" s="39">
        <f t="shared" si="4"/>
        <v>15229301</v>
      </c>
      <c r="K16" s="39">
        <f t="shared" ref="K16" si="5">SUM(K10:K15)</f>
        <v>11374759</v>
      </c>
      <c r="L16" s="39">
        <f>SUM(L10:L15)</f>
        <v>48256950</v>
      </c>
    </row>
    <row r="17" spans="1:13" ht="17.45" customHeight="1" x14ac:dyDescent="0.25">
      <c r="A17" s="25" t="s">
        <v>27</v>
      </c>
      <c r="B17" s="80">
        <v>-1360525</v>
      </c>
      <c r="C17" s="55">
        <v>220269</v>
      </c>
      <c r="D17" s="116">
        <f t="shared" si="1"/>
        <v>-1140256</v>
      </c>
      <c r="E17" s="55"/>
      <c r="F17" s="55"/>
      <c r="G17" s="44">
        <f t="shared" ref="G17:G18" si="6">SUM(D17:F17)</f>
        <v>-1140256</v>
      </c>
      <c r="H17" s="80">
        <f>+'Attachment E - Desig One-Time'!I16</f>
        <v>0</v>
      </c>
      <c r="I17" s="55">
        <f>+'Attachment E - Desig One-Time'!J16</f>
        <v>0</v>
      </c>
      <c r="J17" s="53">
        <f t="shared" si="3"/>
        <v>0</v>
      </c>
      <c r="K17" s="53">
        <f>+'Attachment F - Fees One-Time'!J16</f>
        <v>197190</v>
      </c>
      <c r="L17" s="53">
        <f>+G17+J17+K17</f>
        <v>-943066</v>
      </c>
      <c r="M17" s="34"/>
    </row>
    <row r="18" spans="1:13" ht="17.45" customHeight="1" x14ac:dyDescent="0.25">
      <c r="A18" s="25" t="s">
        <v>28</v>
      </c>
      <c r="B18" s="7">
        <f>111144284+1360525</f>
        <v>112504809</v>
      </c>
      <c r="C18" s="7">
        <f>-84549-603000-5185824</f>
        <v>-5873373</v>
      </c>
      <c r="D18" s="116">
        <f t="shared" si="1"/>
        <v>106631436</v>
      </c>
      <c r="E18" s="7">
        <f>-660000-550000</f>
        <v>-1210000</v>
      </c>
      <c r="F18" s="7">
        <v>-3020821</v>
      </c>
      <c r="G18" s="44">
        <f t="shared" si="6"/>
        <v>102400615</v>
      </c>
      <c r="H18" s="7">
        <f>+'Attachment E - Desig One-Time'!I17</f>
        <v>22474707</v>
      </c>
      <c r="I18" s="7">
        <f>+'Attachment E - Desig One-Time'!J17</f>
        <v>-2848000</v>
      </c>
      <c r="J18" s="53">
        <f t="shared" si="3"/>
        <v>19626707</v>
      </c>
      <c r="K18" s="53">
        <f>+'Attachment F - Fees One-Time'!J17</f>
        <v>728414</v>
      </c>
      <c r="L18" s="53">
        <f>+G18+J18+K18</f>
        <v>122755736</v>
      </c>
      <c r="M18" s="33"/>
    </row>
    <row r="19" spans="1:13" ht="18" customHeight="1" thickBot="1" x14ac:dyDescent="0.3">
      <c r="A19" s="57" t="s">
        <v>29</v>
      </c>
      <c r="B19" s="11">
        <f>SUM(B16:B18)</f>
        <v>128708583</v>
      </c>
      <c r="C19" s="11">
        <f>SUM(C16:C18)</f>
        <v>-5795334</v>
      </c>
      <c r="D19" s="118">
        <f>SUM(D16:D18)</f>
        <v>122913249</v>
      </c>
      <c r="E19" s="11">
        <f t="shared" ref="E19:L19" si="7">SUM(E16:E18)</f>
        <v>0</v>
      </c>
      <c r="F19" s="11">
        <f t="shared" si="7"/>
        <v>0</v>
      </c>
      <c r="G19" s="40">
        <f t="shared" si="7"/>
        <v>122913249</v>
      </c>
      <c r="H19" s="11">
        <f t="shared" si="7"/>
        <v>34856008</v>
      </c>
      <c r="I19" s="11">
        <f>SUM(I16:I18)</f>
        <v>0</v>
      </c>
      <c r="J19" s="40">
        <f t="shared" si="7"/>
        <v>34856008</v>
      </c>
      <c r="K19" s="40">
        <f t="shared" si="7"/>
        <v>12300363</v>
      </c>
      <c r="L19" s="40">
        <f t="shared" si="7"/>
        <v>170069620</v>
      </c>
    </row>
    <row r="20" spans="1:13" x14ac:dyDescent="0.25">
      <c r="A20" s="35"/>
    </row>
    <row r="21" spans="1:13" x14ac:dyDescent="0.25">
      <c r="A21" s="2" t="s">
        <v>190</v>
      </c>
    </row>
    <row r="22" spans="1:13" x14ac:dyDescent="0.25">
      <c r="A22" s="2" t="s">
        <v>191</v>
      </c>
    </row>
    <row r="23" spans="1:13" x14ac:dyDescent="0.25">
      <c r="A23" s="2" t="s">
        <v>192</v>
      </c>
    </row>
    <row r="24" spans="1:13" x14ac:dyDescent="0.25">
      <c r="A24" s="2" t="s">
        <v>193</v>
      </c>
    </row>
    <row r="25" spans="1:13" x14ac:dyDescent="0.25">
      <c r="A25" s="2" t="s">
        <v>194</v>
      </c>
    </row>
    <row r="26" spans="1:13" x14ac:dyDescent="0.25">
      <c r="A26" s="2" t="s">
        <v>195</v>
      </c>
    </row>
    <row r="27" spans="1:13" x14ac:dyDescent="0.25">
      <c r="A27" s="2" t="s">
        <v>196</v>
      </c>
    </row>
    <row r="28" spans="1:13" x14ac:dyDescent="0.25">
      <c r="A28" s="2" t="s">
        <v>38</v>
      </c>
    </row>
    <row r="29" spans="1:13" x14ac:dyDescent="0.25">
      <c r="A29" s="2" t="s">
        <v>38</v>
      </c>
    </row>
    <row r="30" spans="1:13" x14ac:dyDescent="0.25">
      <c r="A30" t="s">
        <v>197</v>
      </c>
    </row>
    <row r="31" spans="1:13" x14ac:dyDescent="0.25">
      <c r="A31" s="2" t="s">
        <v>198</v>
      </c>
    </row>
    <row r="32" spans="1:13" x14ac:dyDescent="0.25">
      <c r="A32" s="2" t="s">
        <v>199</v>
      </c>
    </row>
    <row r="36" spans="1:1" x14ac:dyDescent="0.25">
      <c r="A36" t="s">
        <v>200</v>
      </c>
    </row>
    <row r="37" spans="1:1" x14ac:dyDescent="0.25">
      <c r="A37" s="84" t="s">
        <v>201</v>
      </c>
    </row>
    <row r="45" spans="1:1" ht="13.9" customHeight="1" x14ac:dyDescent="0.25"/>
    <row r="46" spans="1:1" ht="13.9" customHeight="1" x14ac:dyDescent="0.25"/>
  </sheetData>
  <mergeCells count="4">
    <mergeCell ref="B5:G5"/>
    <mergeCell ref="H5:J5"/>
    <mergeCell ref="B6:G6"/>
    <mergeCell ref="H6:J6"/>
  </mergeCells>
  <hyperlinks>
    <hyperlink ref="A37" r:id="rId1" xr:uid="{DF7A18F4-D8FD-4D0A-B7F0-25DFEEA9E3E8}"/>
  </hyperlinks>
  <printOptions horizontalCentered="1"/>
  <pageMargins left="0.5" right="0.5" top="0.5" bottom="0.5" header="0.3" footer="0.3"/>
  <pageSetup scale="71" orientation="landscape" r:id="rId2"/>
  <headerFooter>
    <oddFooter>&amp;L&amp;8&amp;D&amp;C&amp;8&amp;P&amp;R&amp;8&amp;A</oddFooter>
  </headerFooter>
  <ignoredErrors>
    <ignoredError sqref="D16 G16" formula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72A2A-9B96-484F-AFBB-55D473C10BCA}">
  <sheetPr>
    <tabColor rgb="FFFFC000"/>
    <pageSetUpPr fitToPage="1"/>
  </sheetPr>
  <dimension ref="A1:M72"/>
  <sheetViews>
    <sheetView workbookViewId="0">
      <selection activeCell="D18" sqref="D18"/>
    </sheetView>
  </sheetViews>
  <sheetFormatPr defaultColWidth="8.85546875" defaultRowHeight="15" x14ac:dyDescent="0.25"/>
  <cols>
    <col min="1" max="1" width="46.28515625" style="2" customWidth="1"/>
    <col min="2" max="6" width="12.28515625" style="1" customWidth="1"/>
    <col min="7" max="9" width="13.85546875" style="1" customWidth="1"/>
    <col min="10" max="10" width="13.5703125" style="2" customWidth="1"/>
    <col min="11" max="11" width="14" style="2" customWidth="1"/>
    <col min="12" max="12" width="4.28515625" style="2" customWidth="1"/>
    <col min="13" max="21" width="14" style="2" customWidth="1"/>
    <col min="22" max="16384" width="8.85546875" style="2"/>
  </cols>
  <sheetData>
    <row r="1" spans="1:11" ht="25.9" customHeight="1" x14ac:dyDescent="0.4">
      <c r="A1" s="3"/>
      <c r="G1" s="26"/>
      <c r="H1" s="26"/>
      <c r="I1" s="26"/>
    </row>
    <row r="2" spans="1:11" ht="25.9" customHeight="1" x14ac:dyDescent="0.3">
      <c r="A2" s="3"/>
    </row>
    <row r="3" spans="1:11" ht="18.75" customHeight="1" x14ac:dyDescent="0.3">
      <c r="A3" s="3" t="s">
        <v>202</v>
      </c>
      <c r="K3" s="6" t="str">
        <f>+'Attachment A - Base'!J3</f>
        <v>BPA #24-01R</v>
      </c>
    </row>
    <row r="4" spans="1:11" ht="20.100000000000001" customHeight="1" x14ac:dyDescent="0.25">
      <c r="A4" s="17">
        <f>+'Attachment A - Base'!A4</f>
        <v>45527</v>
      </c>
    </row>
    <row r="5" spans="1:11" x14ac:dyDescent="0.25">
      <c r="B5" s="171" t="s">
        <v>203</v>
      </c>
      <c r="C5" s="172"/>
      <c r="D5" s="172"/>
      <c r="E5" s="172"/>
      <c r="F5" s="172"/>
      <c r="G5" s="172"/>
      <c r="H5" s="119"/>
      <c r="I5" s="120"/>
      <c r="J5" s="123" t="s">
        <v>204</v>
      </c>
    </row>
    <row r="6" spans="1:11" x14ac:dyDescent="0.25">
      <c r="B6" s="1">
        <v>-1</v>
      </c>
      <c r="C6" s="1">
        <v>-2</v>
      </c>
      <c r="D6" s="1">
        <v>-3</v>
      </c>
      <c r="E6" s="1">
        <v>-4</v>
      </c>
      <c r="F6" s="36" t="s">
        <v>9</v>
      </c>
      <c r="G6" s="1">
        <v>-6</v>
      </c>
      <c r="H6" s="1">
        <v>-7</v>
      </c>
      <c r="I6" s="30"/>
      <c r="J6" s="36" t="s">
        <v>205</v>
      </c>
      <c r="K6" s="19"/>
    </row>
    <row r="7" spans="1:11" ht="60.75" thickBot="1" x14ac:dyDescent="0.3">
      <c r="A7" s="4"/>
      <c r="B7" s="5" t="s">
        <v>206</v>
      </c>
      <c r="C7" s="5" t="s">
        <v>207</v>
      </c>
      <c r="D7" s="5" t="s">
        <v>208</v>
      </c>
      <c r="E7" s="5" t="s">
        <v>209</v>
      </c>
      <c r="F7" s="5" t="s">
        <v>210</v>
      </c>
      <c r="G7" s="5" t="s">
        <v>211</v>
      </c>
      <c r="H7" s="5" t="s">
        <v>212</v>
      </c>
      <c r="I7" s="31" t="s">
        <v>213</v>
      </c>
      <c r="J7" s="5" t="s">
        <v>214</v>
      </c>
      <c r="K7" s="20" t="s">
        <v>215</v>
      </c>
    </row>
    <row r="8" spans="1:11" ht="19.149999999999999" customHeight="1" x14ac:dyDescent="0.25">
      <c r="A8" s="14"/>
      <c r="B8" s="16"/>
      <c r="C8" s="16"/>
      <c r="D8" s="16"/>
      <c r="E8" s="16"/>
      <c r="F8" s="16"/>
      <c r="G8" s="15"/>
      <c r="H8" s="15"/>
      <c r="I8" s="121"/>
      <c r="J8" s="15"/>
      <c r="K8" s="21"/>
    </row>
    <row r="9" spans="1:11" ht="19.149999999999999" customHeight="1" x14ac:dyDescent="0.25">
      <c r="A9" s="2" t="s">
        <v>20</v>
      </c>
      <c r="B9" s="64"/>
      <c r="C9" s="64"/>
      <c r="D9" s="64"/>
      <c r="E9" s="85">
        <v>140660</v>
      </c>
      <c r="F9" s="85"/>
      <c r="G9" s="64">
        <f>105217-1</f>
        <v>105216</v>
      </c>
      <c r="H9" s="64"/>
      <c r="I9" s="122">
        <f>SUM(B9:H9)</f>
        <v>245876</v>
      </c>
      <c r="J9" s="64"/>
      <c r="K9" s="22">
        <f>SUM(I9:J9)</f>
        <v>245876</v>
      </c>
    </row>
    <row r="10" spans="1:11" ht="19.149999999999999" customHeight="1" x14ac:dyDescent="0.25">
      <c r="A10" s="2" t="s">
        <v>21</v>
      </c>
      <c r="B10" s="64">
        <v>973272</v>
      </c>
      <c r="C10" s="64">
        <v>3242939</v>
      </c>
      <c r="D10" s="64">
        <v>1399008</v>
      </c>
      <c r="E10" s="85">
        <v>749563</v>
      </c>
      <c r="F10" s="85"/>
      <c r="G10" s="64">
        <v>897307</v>
      </c>
      <c r="H10" s="64"/>
      <c r="I10" s="122">
        <f t="shared" ref="I10:I14" si="0">SUM(B10:H10)</f>
        <v>7262089</v>
      </c>
      <c r="J10" s="64">
        <v>2848000</v>
      </c>
      <c r="K10" s="22">
        <f t="shared" ref="K10:K14" si="1">SUM(I10:J10)</f>
        <v>10110089</v>
      </c>
    </row>
    <row r="11" spans="1:11" ht="19.149999999999999" customHeight="1" x14ac:dyDescent="0.25">
      <c r="A11" s="2" t="s">
        <v>22</v>
      </c>
      <c r="B11" s="64"/>
      <c r="C11" s="64">
        <f>160000+6</f>
        <v>160006</v>
      </c>
      <c r="D11" s="64"/>
      <c r="E11" s="64"/>
      <c r="F11" s="85"/>
      <c r="G11" s="64"/>
      <c r="H11" s="64"/>
      <c r="I11" s="122">
        <f t="shared" si="0"/>
        <v>160006</v>
      </c>
      <c r="J11" s="64"/>
      <c r="K11" s="22">
        <f t="shared" si="1"/>
        <v>160006</v>
      </c>
    </row>
    <row r="12" spans="1:11" ht="19.149999999999999" customHeight="1" x14ac:dyDescent="0.25">
      <c r="A12" s="2" t="s">
        <v>23</v>
      </c>
      <c r="B12" s="64"/>
      <c r="C12" s="64">
        <v>-22469</v>
      </c>
      <c r="D12" s="64"/>
      <c r="E12" s="64"/>
      <c r="F12" s="64"/>
      <c r="G12" s="64">
        <v>-6510</v>
      </c>
      <c r="H12" s="64">
        <v>6510</v>
      </c>
      <c r="I12" s="122">
        <f t="shared" si="0"/>
        <v>-22469</v>
      </c>
      <c r="J12" s="64"/>
      <c r="K12" s="22">
        <f t="shared" si="1"/>
        <v>-22469</v>
      </c>
    </row>
    <row r="13" spans="1:11" ht="19.149999999999999" customHeight="1" x14ac:dyDescent="0.25">
      <c r="A13" s="2" t="s">
        <v>24</v>
      </c>
      <c r="B13" s="64"/>
      <c r="C13" s="64">
        <v>4234542</v>
      </c>
      <c r="D13" s="64"/>
      <c r="E13" s="64">
        <v>97546</v>
      </c>
      <c r="F13" s="64">
        <f>-138272</f>
        <v>-138272</v>
      </c>
      <c r="G13" s="64">
        <v>521983</v>
      </c>
      <c r="H13" s="64"/>
      <c r="I13" s="122">
        <f t="shared" si="0"/>
        <v>4715799</v>
      </c>
      <c r="J13" s="64"/>
      <c r="K13" s="22">
        <f t="shared" si="1"/>
        <v>4715799</v>
      </c>
    </row>
    <row r="14" spans="1:11" ht="19.149999999999999" customHeight="1" x14ac:dyDescent="0.25">
      <c r="A14" s="2" t="s">
        <v>25</v>
      </c>
      <c r="B14" s="64"/>
      <c r="C14" s="64"/>
      <c r="D14" s="64"/>
      <c r="E14" s="64"/>
      <c r="F14" s="64"/>
      <c r="G14" s="64">
        <v>20000</v>
      </c>
      <c r="H14" s="64"/>
      <c r="I14" s="122">
        <f t="shared" si="0"/>
        <v>20000</v>
      </c>
      <c r="J14" s="64"/>
      <c r="K14" s="22">
        <f t="shared" si="1"/>
        <v>20000</v>
      </c>
    </row>
    <row r="15" spans="1:11" ht="19.149999999999999" customHeight="1" x14ac:dyDescent="0.25">
      <c r="A15" s="9" t="s">
        <v>26</v>
      </c>
      <c r="B15" s="8">
        <f t="shared" ref="B15" si="2">SUM(B9:B14)</f>
        <v>973272</v>
      </c>
      <c r="C15" s="8">
        <f t="shared" ref="C15:I15" si="3">SUM(C9:C14)</f>
        <v>7615018</v>
      </c>
      <c r="D15" s="8">
        <f t="shared" si="3"/>
        <v>1399008</v>
      </c>
      <c r="E15" s="8">
        <f t="shared" si="3"/>
        <v>987769</v>
      </c>
      <c r="F15" s="8">
        <f t="shared" si="3"/>
        <v>-138272</v>
      </c>
      <c r="G15" s="8">
        <f t="shared" si="3"/>
        <v>1537996</v>
      </c>
      <c r="H15" s="8">
        <f t="shared" si="3"/>
        <v>6510</v>
      </c>
      <c r="I15" s="117">
        <f t="shared" si="3"/>
        <v>12381301</v>
      </c>
      <c r="J15" s="8">
        <f t="shared" ref="J15" si="4">SUM(J9:J14)</f>
        <v>2848000</v>
      </c>
      <c r="K15" s="23">
        <f t="shared" ref="K15" si="5">SUM(K9:K14)</f>
        <v>15229301</v>
      </c>
    </row>
    <row r="16" spans="1:11" ht="19.149999999999999" customHeight="1" x14ac:dyDescent="0.25">
      <c r="A16" s="2" t="s">
        <v>27</v>
      </c>
      <c r="B16" s="18"/>
      <c r="G16" s="7"/>
      <c r="H16" s="7"/>
      <c r="I16" s="122">
        <f>SUM(B16:H16)</f>
        <v>0</v>
      </c>
      <c r="J16" s="7"/>
      <c r="K16" s="22">
        <f>SUM(I16:J16)</f>
        <v>0</v>
      </c>
    </row>
    <row r="17" spans="1:11" ht="19.149999999999999" customHeight="1" x14ac:dyDescent="0.25">
      <c r="A17" s="2" t="s">
        <v>28</v>
      </c>
      <c r="B17" s="7"/>
      <c r="C17" s="7"/>
      <c r="D17" s="7"/>
      <c r="E17" s="7"/>
      <c r="F17" s="7"/>
      <c r="G17" s="7">
        <v>21871707</v>
      </c>
      <c r="H17" s="7">
        <v>603000</v>
      </c>
      <c r="I17" s="122">
        <f>SUM(B17:H17)</f>
        <v>22474707</v>
      </c>
      <c r="J17" s="7">
        <v>-2848000</v>
      </c>
      <c r="K17" s="22">
        <f>SUM(I17:J17)</f>
        <v>19626707</v>
      </c>
    </row>
    <row r="18" spans="1:11" ht="15" customHeight="1" thickBot="1" x14ac:dyDescent="0.3">
      <c r="A18" s="10" t="s">
        <v>29</v>
      </c>
      <c r="B18" s="11">
        <f t="shared" ref="B18:K18" si="6">SUM(B15:B17)</f>
        <v>973272</v>
      </c>
      <c r="C18" s="11">
        <f t="shared" ref="C18:I18" si="7">SUM(C15:C17)</f>
        <v>7615018</v>
      </c>
      <c r="D18" s="11">
        <f t="shared" si="7"/>
        <v>1399008</v>
      </c>
      <c r="E18" s="11">
        <f t="shared" si="7"/>
        <v>987769</v>
      </c>
      <c r="F18" s="11">
        <f t="shared" si="7"/>
        <v>-138272</v>
      </c>
      <c r="G18" s="11">
        <f t="shared" si="7"/>
        <v>23409703</v>
      </c>
      <c r="H18" s="11">
        <f t="shared" si="7"/>
        <v>609510</v>
      </c>
      <c r="I18" s="118">
        <f t="shared" si="7"/>
        <v>34856008</v>
      </c>
      <c r="J18" s="11">
        <f t="shared" ref="J18" si="8">SUM(J15:J17)</f>
        <v>0</v>
      </c>
      <c r="K18" s="24">
        <f t="shared" si="6"/>
        <v>34856008</v>
      </c>
    </row>
    <row r="19" spans="1:11" ht="15" customHeight="1" x14ac:dyDescent="0.25">
      <c r="A19" s="12"/>
      <c r="B19" s="12"/>
      <c r="C19" s="13"/>
      <c r="D19" s="13"/>
      <c r="E19" s="13"/>
      <c r="F19" s="13"/>
      <c r="G19" s="127"/>
      <c r="H19" s="13"/>
      <c r="I19" s="13"/>
    </row>
    <row r="20" spans="1:11" ht="15" customHeight="1" x14ac:dyDescent="0.25">
      <c r="A20" s="2" t="s">
        <v>216</v>
      </c>
      <c r="B20" s="12"/>
      <c r="C20" s="13"/>
      <c r="D20" s="13"/>
      <c r="E20" s="13"/>
      <c r="F20" s="13"/>
      <c r="G20" s="13"/>
      <c r="H20" s="13"/>
      <c r="I20" s="13"/>
    </row>
    <row r="21" spans="1:11" ht="13.9" customHeight="1" x14ac:dyDescent="0.25">
      <c r="A21" s="2" t="s">
        <v>217</v>
      </c>
    </row>
    <row r="22" spans="1:11" x14ac:dyDescent="0.25">
      <c r="A22" s="2" t="s">
        <v>218</v>
      </c>
    </row>
    <row r="23" spans="1:11" x14ac:dyDescent="0.25">
      <c r="A23" s="2" t="s">
        <v>219</v>
      </c>
    </row>
    <row r="24" spans="1:11" x14ac:dyDescent="0.25">
      <c r="A24" s="2" t="s">
        <v>220</v>
      </c>
    </row>
    <row r="25" spans="1:11" x14ac:dyDescent="0.25">
      <c r="A25" s="2" t="s">
        <v>221</v>
      </c>
    </row>
    <row r="26" spans="1:11" x14ac:dyDescent="0.25">
      <c r="A26" s="2" t="s">
        <v>222</v>
      </c>
    </row>
    <row r="27" spans="1:11" x14ac:dyDescent="0.25">
      <c r="A27" s="2" t="s">
        <v>223</v>
      </c>
    </row>
    <row r="28" spans="1:11" x14ac:dyDescent="0.25">
      <c r="A28" s="2" t="s">
        <v>224</v>
      </c>
    </row>
    <row r="29" spans="1:11" ht="13.9" customHeight="1" x14ac:dyDescent="0.25">
      <c r="A29" s="2" t="s">
        <v>225</v>
      </c>
    </row>
    <row r="30" spans="1:11" ht="13.9" customHeight="1" x14ac:dyDescent="0.25"/>
    <row r="31" spans="1:11" x14ac:dyDescent="0.25">
      <c r="A31" s="2" t="s">
        <v>226</v>
      </c>
    </row>
    <row r="32" spans="1:11" x14ac:dyDescent="0.25">
      <c r="J32" s="1"/>
    </row>
    <row r="33" spans="1:13" x14ac:dyDescent="0.25">
      <c r="A33" s="65" t="s">
        <v>51</v>
      </c>
      <c r="B33" s="66" t="s">
        <v>52</v>
      </c>
      <c r="C33" s="66" t="s">
        <v>53</v>
      </c>
      <c r="D33" s="66" t="s">
        <v>227</v>
      </c>
      <c r="E33" s="66" t="s">
        <v>23</v>
      </c>
      <c r="F33" s="66" t="s">
        <v>54</v>
      </c>
      <c r="G33" s="66" t="s">
        <v>228</v>
      </c>
      <c r="H33" s="66" t="s">
        <v>229</v>
      </c>
      <c r="I33" s="66" t="s">
        <v>228</v>
      </c>
      <c r="J33" s="66" t="s">
        <v>55</v>
      </c>
    </row>
    <row r="34" spans="1:13" x14ac:dyDescent="0.25">
      <c r="A34" s="67"/>
      <c r="B34" s="68" t="s">
        <v>56</v>
      </c>
      <c r="C34" s="68" t="s">
        <v>57</v>
      </c>
      <c r="D34" s="68" t="s">
        <v>57</v>
      </c>
      <c r="E34" s="68"/>
      <c r="F34" s="68" t="s">
        <v>57</v>
      </c>
      <c r="G34" s="68" t="s">
        <v>230</v>
      </c>
      <c r="H34" s="68" t="s">
        <v>231</v>
      </c>
      <c r="I34" s="68"/>
      <c r="J34" s="68"/>
    </row>
    <row r="35" spans="1:13" x14ac:dyDescent="0.25">
      <c r="A35" s="33" t="s">
        <v>232</v>
      </c>
      <c r="B35" s="33"/>
      <c r="C35" s="33">
        <v>-1162</v>
      </c>
      <c r="D35" s="33"/>
      <c r="E35" s="33"/>
      <c r="F35" s="33"/>
      <c r="G35" s="33"/>
      <c r="H35" s="33"/>
      <c r="I35" s="33"/>
      <c r="J35" s="18">
        <f t="shared" ref="J35:J68" si="9">SUM(B35:I35)</f>
        <v>-1162</v>
      </c>
    </row>
    <row r="36" spans="1:13" x14ac:dyDescent="0.25">
      <c r="A36" s="33" t="s">
        <v>233</v>
      </c>
      <c r="B36" s="33"/>
      <c r="C36" s="33">
        <v>64356</v>
      </c>
      <c r="D36" s="33"/>
      <c r="E36" s="33"/>
      <c r="F36" s="33"/>
      <c r="G36" s="33"/>
      <c r="H36" s="33"/>
      <c r="I36" s="33"/>
      <c r="J36" s="18">
        <f t="shared" si="9"/>
        <v>64356</v>
      </c>
    </row>
    <row r="37" spans="1:13" x14ac:dyDescent="0.25">
      <c r="A37" s="33" t="s">
        <v>58</v>
      </c>
      <c r="B37" s="33"/>
      <c r="C37" s="33">
        <v>386916</v>
      </c>
      <c r="D37" s="33"/>
      <c r="E37" s="33"/>
      <c r="F37" s="33">
        <v>-8092</v>
      </c>
      <c r="G37" s="33"/>
      <c r="H37" s="33"/>
      <c r="I37" s="33"/>
      <c r="J37" s="18">
        <f t="shared" si="9"/>
        <v>378824</v>
      </c>
    </row>
    <row r="38" spans="1:13" x14ac:dyDescent="0.25">
      <c r="A38" s="33" t="s">
        <v>234</v>
      </c>
      <c r="B38" s="33"/>
      <c r="C38" s="33"/>
      <c r="D38" s="33"/>
      <c r="E38" s="33"/>
      <c r="F38" s="33"/>
      <c r="G38" s="33"/>
      <c r="H38" s="33"/>
      <c r="I38" s="33"/>
      <c r="J38" s="18">
        <f t="shared" si="9"/>
        <v>0</v>
      </c>
    </row>
    <row r="39" spans="1:13" x14ac:dyDescent="0.25">
      <c r="A39" s="33" t="s">
        <v>235</v>
      </c>
      <c r="B39" s="33"/>
      <c r="C39" s="33">
        <v>18</v>
      </c>
      <c r="D39" s="33"/>
      <c r="E39" s="33"/>
      <c r="F39" s="33"/>
      <c r="G39" s="33"/>
      <c r="H39" s="33"/>
      <c r="I39" s="33"/>
      <c r="J39" s="18">
        <f t="shared" si="9"/>
        <v>18</v>
      </c>
    </row>
    <row r="40" spans="1:13" x14ac:dyDescent="0.25">
      <c r="A40" s="33" t="s">
        <v>236</v>
      </c>
      <c r="B40" s="33"/>
      <c r="C40" s="33"/>
      <c r="D40" s="33"/>
      <c r="E40" s="33"/>
      <c r="F40" s="33"/>
      <c r="G40" s="33"/>
      <c r="H40" s="33"/>
      <c r="I40" s="33"/>
      <c r="J40" s="18">
        <f t="shared" si="9"/>
        <v>0</v>
      </c>
    </row>
    <row r="41" spans="1:13" x14ac:dyDescent="0.25">
      <c r="A41" s="33" t="s">
        <v>237</v>
      </c>
      <c r="B41" s="33"/>
      <c r="C41" s="33">
        <v>5751</v>
      </c>
      <c r="D41" s="33"/>
      <c r="E41" s="33"/>
      <c r="F41" s="33"/>
      <c r="G41" s="33"/>
      <c r="H41" s="33"/>
      <c r="I41" s="33"/>
      <c r="J41" s="18">
        <f t="shared" si="9"/>
        <v>5751</v>
      </c>
      <c r="K41" s="69"/>
    </row>
    <row r="42" spans="1:13" x14ac:dyDescent="0.25">
      <c r="A42" s="33" t="s">
        <v>238</v>
      </c>
      <c r="B42" s="33"/>
      <c r="C42" s="33">
        <v>104667</v>
      </c>
      <c r="D42" s="33"/>
      <c r="E42" s="33"/>
      <c r="F42" s="33"/>
      <c r="G42" s="33"/>
      <c r="H42" s="33"/>
      <c r="I42" s="33"/>
      <c r="J42" s="18">
        <f t="shared" si="9"/>
        <v>104667</v>
      </c>
      <c r="K42" s="69"/>
    </row>
    <row r="43" spans="1:13" x14ac:dyDescent="0.25">
      <c r="A43" s="33" t="s">
        <v>239</v>
      </c>
      <c r="B43" s="33"/>
      <c r="C43" s="33">
        <v>2277</v>
      </c>
      <c r="D43" s="33"/>
      <c r="E43" s="33"/>
      <c r="F43" s="33"/>
      <c r="G43" s="33"/>
      <c r="H43" s="33"/>
      <c r="I43" s="33"/>
      <c r="J43" s="18">
        <f t="shared" si="9"/>
        <v>2277</v>
      </c>
    </row>
    <row r="44" spans="1:13" x14ac:dyDescent="0.25">
      <c r="A44" s="33" t="s">
        <v>59</v>
      </c>
      <c r="B44" s="33">
        <v>17042</v>
      </c>
      <c r="C44" s="33">
        <v>95422</v>
      </c>
      <c r="D44" s="33"/>
      <c r="E44" s="33"/>
      <c r="F44" s="33"/>
      <c r="G44" s="33"/>
      <c r="H44" s="33"/>
      <c r="I44" s="33"/>
      <c r="J44" s="18">
        <f t="shared" si="9"/>
        <v>112464</v>
      </c>
      <c r="K44" s="2" t="s">
        <v>240</v>
      </c>
      <c r="M44" s="84"/>
    </row>
    <row r="45" spans="1:13" x14ac:dyDescent="0.25">
      <c r="A45" s="33" t="s">
        <v>241</v>
      </c>
      <c r="B45" s="33"/>
      <c r="C45" s="33">
        <v>-987</v>
      </c>
      <c r="D45" s="33"/>
      <c r="E45" s="33"/>
      <c r="F45" s="33"/>
      <c r="G45" s="33"/>
      <c r="H45" s="33"/>
      <c r="I45" s="33"/>
      <c r="J45" s="18">
        <f t="shared" si="9"/>
        <v>-987</v>
      </c>
    </row>
    <row r="46" spans="1:13" x14ac:dyDescent="0.25">
      <c r="A46" s="33" t="s">
        <v>60</v>
      </c>
      <c r="B46" s="33">
        <v>140660</v>
      </c>
      <c r="C46" s="33">
        <v>749563</v>
      </c>
      <c r="D46" s="33"/>
      <c r="E46" s="33"/>
      <c r="F46" s="33">
        <v>97546</v>
      </c>
      <c r="G46" s="33"/>
      <c r="H46" s="33"/>
      <c r="I46" s="33"/>
      <c r="J46" s="18">
        <f t="shared" si="9"/>
        <v>987769</v>
      </c>
      <c r="K46" s="2" t="s">
        <v>240</v>
      </c>
    </row>
    <row r="47" spans="1:13" x14ac:dyDescent="0.25">
      <c r="A47" s="33" t="s">
        <v>242</v>
      </c>
      <c r="B47" s="33"/>
      <c r="C47" s="33"/>
      <c r="D47" s="33"/>
      <c r="E47" s="33">
        <v>-6510</v>
      </c>
      <c r="F47" s="33"/>
      <c r="G47" s="33"/>
      <c r="H47" s="33">
        <v>6510</v>
      </c>
      <c r="I47" s="33"/>
      <c r="J47" s="18">
        <f t="shared" si="9"/>
        <v>0</v>
      </c>
    </row>
    <row r="48" spans="1:13" x14ac:dyDescent="0.25">
      <c r="A48" s="33" t="s">
        <v>243</v>
      </c>
      <c r="B48" s="33"/>
      <c r="C48" s="33">
        <v>203725</v>
      </c>
      <c r="D48" s="33">
        <v>160000</v>
      </c>
      <c r="E48" s="33">
        <v>-22469</v>
      </c>
      <c r="F48" s="33">
        <v>4234542</v>
      </c>
      <c r="G48" s="33"/>
      <c r="H48" s="33"/>
      <c r="I48" s="33">
        <f>9979395+87124</f>
        <v>10066519</v>
      </c>
      <c r="J48" s="18">
        <f t="shared" si="9"/>
        <v>14642317</v>
      </c>
      <c r="K48" s="2" t="s">
        <v>244</v>
      </c>
    </row>
    <row r="49" spans="1:11" x14ac:dyDescent="0.25">
      <c r="A49" s="33" t="s">
        <v>245</v>
      </c>
      <c r="B49" s="33"/>
      <c r="C49" s="33">
        <f>973272</f>
        <v>973272</v>
      </c>
      <c r="D49" s="33"/>
      <c r="E49" s="33"/>
      <c r="F49" s="33"/>
      <c r="G49" s="33"/>
      <c r="H49" s="33"/>
      <c r="I49" s="33"/>
      <c r="J49" s="18">
        <f t="shared" si="9"/>
        <v>973272</v>
      </c>
    </row>
    <row r="50" spans="1:11" x14ac:dyDescent="0.25">
      <c r="A50" s="33" t="s">
        <v>246</v>
      </c>
      <c r="B50" s="33"/>
      <c r="C50" s="33">
        <f>1352689+2</f>
        <v>1352691</v>
      </c>
      <c r="D50" s="33"/>
      <c r="E50" s="33"/>
      <c r="F50" s="33"/>
      <c r="G50" s="33"/>
      <c r="H50" s="33"/>
      <c r="I50" s="33"/>
      <c r="J50" s="18">
        <f t="shared" si="9"/>
        <v>1352691</v>
      </c>
      <c r="K50" s="2" t="s">
        <v>244</v>
      </c>
    </row>
    <row r="51" spans="1:11" x14ac:dyDescent="0.25">
      <c r="A51" s="33" t="s">
        <v>247</v>
      </c>
      <c r="B51" s="33"/>
      <c r="C51" s="33">
        <v>752038</v>
      </c>
      <c r="D51" s="33"/>
      <c r="E51" s="33"/>
      <c r="F51" s="33"/>
      <c r="G51" s="33"/>
      <c r="H51" s="33"/>
      <c r="I51" s="33"/>
      <c r="J51" s="18">
        <f t="shared" si="9"/>
        <v>752038</v>
      </c>
      <c r="K51" s="2" t="s">
        <v>244</v>
      </c>
    </row>
    <row r="52" spans="1:11" x14ac:dyDescent="0.25">
      <c r="A52" s="33" t="s">
        <v>248</v>
      </c>
      <c r="B52" s="33"/>
      <c r="C52" s="33">
        <v>127438</v>
      </c>
      <c r="D52" s="33"/>
      <c r="E52" s="33"/>
      <c r="F52" s="33"/>
      <c r="G52" s="33"/>
      <c r="H52" s="33"/>
      <c r="I52" s="33"/>
      <c r="J52" s="18">
        <f t="shared" si="9"/>
        <v>127438</v>
      </c>
      <c r="K52" s="2" t="s">
        <v>244</v>
      </c>
    </row>
    <row r="53" spans="1:11" x14ac:dyDescent="0.25">
      <c r="A53" s="33" t="s">
        <v>249</v>
      </c>
      <c r="B53" s="33"/>
      <c r="C53" s="33">
        <v>258674</v>
      </c>
      <c r="D53" s="33"/>
      <c r="E53" s="33"/>
      <c r="F53" s="33">
        <v>13630</v>
      </c>
      <c r="G53" s="33"/>
      <c r="H53" s="33"/>
      <c r="I53" s="33"/>
      <c r="J53" s="18">
        <f t="shared" si="9"/>
        <v>272304</v>
      </c>
      <c r="K53" s="2" t="s">
        <v>244</v>
      </c>
    </row>
    <row r="54" spans="1:11" x14ac:dyDescent="0.25">
      <c r="A54" s="33" t="s">
        <v>250</v>
      </c>
      <c r="B54" s="33"/>
      <c r="C54" s="33">
        <v>548373</v>
      </c>
      <c r="D54" s="33"/>
      <c r="E54" s="33"/>
      <c r="F54" s="33"/>
      <c r="G54" s="33"/>
      <c r="H54" s="33"/>
      <c r="I54" s="33"/>
      <c r="J54" s="18">
        <f t="shared" si="9"/>
        <v>548373</v>
      </c>
      <c r="K54" s="2" t="s">
        <v>244</v>
      </c>
    </row>
    <row r="55" spans="1:11" x14ac:dyDescent="0.25">
      <c r="A55" s="33" t="s">
        <v>61</v>
      </c>
      <c r="B55" s="33"/>
      <c r="C55" s="33"/>
      <c r="D55" s="33">
        <v>6</v>
      </c>
      <c r="E55" s="33"/>
      <c r="F55" s="33">
        <f>-113431</f>
        <v>-113431</v>
      </c>
      <c r="G55" s="33"/>
      <c r="H55" s="33"/>
      <c r="I55" s="33"/>
      <c r="J55" s="18">
        <f t="shared" si="9"/>
        <v>-113425</v>
      </c>
    </row>
    <row r="56" spans="1:11" x14ac:dyDescent="0.25">
      <c r="A56" s="33" t="s">
        <v>251</v>
      </c>
      <c r="B56" s="33"/>
      <c r="C56" s="33"/>
      <c r="D56" s="33"/>
      <c r="E56" s="33"/>
      <c r="F56" s="33">
        <v>-24841</v>
      </c>
      <c r="G56" s="33"/>
      <c r="H56" s="33"/>
      <c r="I56" s="33"/>
      <c r="J56" s="18">
        <f t="shared" si="9"/>
        <v>-24841</v>
      </c>
    </row>
    <row r="57" spans="1:11" x14ac:dyDescent="0.25">
      <c r="A57" s="33" t="s">
        <v>62</v>
      </c>
      <c r="B57" s="33"/>
      <c r="C57" s="33"/>
      <c r="D57" s="33"/>
      <c r="E57" s="33"/>
      <c r="F57" s="33">
        <v>320493</v>
      </c>
      <c r="G57" s="33"/>
      <c r="H57" s="33"/>
      <c r="I57" s="33"/>
      <c r="J57" s="18">
        <f t="shared" si="9"/>
        <v>320493</v>
      </c>
    </row>
    <row r="58" spans="1:11" x14ac:dyDescent="0.25">
      <c r="A58" s="33" t="s">
        <v>252</v>
      </c>
      <c r="B58" s="33"/>
      <c r="C58" s="33">
        <v>21420</v>
      </c>
      <c r="D58" s="33"/>
      <c r="E58" s="33"/>
      <c r="F58" s="33"/>
      <c r="G58" s="33"/>
      <c r="H58" s="33"/>
      <c r="I58" s="33"/>
      <c r="J58" s="18">
        <f t="shared" si="9"/>
        <v>21420</v>
      </c>
    </row>
    <row r="59" spans="1:11" x14ac:dyDescent="0.25">
      <c r="A59" s="33" t="s">
        <v>253</v>
      </c>
      <c r="B59" s="33"/>
      <c r="C59" s="33">
        <v>25622</v>
      </c>
      <c r="D59" s="33"/>
      <c r="E59" s="33"/>
      <c r="F59" s="33"/>
      <c r="G59" s="33"/>
      <c r="H59" s="33"/>
      <c r="I59" s="33"/>
      <c r="J59" s="18">
        <f t="shared" si="9"/>
        <v>25622</v>
      </c>
    </row>
    <row r="60" spans="1:11" x14ac:dyDescent="0.25">
      <c r="A60" s="33" t="s">
        <v>254</v>
      </c>
      <c r="B60" s="33"/>
      <c r="C60" s="33"/>
      <c r="D60" s="33"/>
      <c r="E60" s="33"/>
      <c r="F60" s="33">
        <v>-1048</v>
      </c>
      <c r="G60" s="33"/>
      <c r="H60" s="33"/>
      <c r="I60" s="33"/>
      <c r="J60" s="18">
        <f t="shared" si="9"/>
        <v>-1048</v>
      </c>
    </row>
    <row r="61" spans="1:11" x14ac:dyDescent="0.25">
      <c r="A61" s="33" t="s">
        <v>255</v>
      </c>
      <c r="B61" s="33"/>
      <c r="C61" s="33">
        <v>1399008</v>
      </c>
      <c r="D61" s="33"/>
      <c r="E61" s="33"/>
      <c r="F61" s="33"/>
      <c r="G61" s="33"/>
      <c r="H61" s="33"/>
      <c r="I61" s="33"/>
      <c r="J61" s="18">
        <f t="shared" si="9"/>
        <v>1399008</v>
      </c>
    </row>
    <row r="62" spans="1:11" x14ac:dyDescent="0.25">
      <c r="A62" s="33" t="s">
        <v>256</v>
      </c>
      <c r="B62" s="33"/>
      <c r="C62" s="33"/>
      <c r="D62" s="33"/>
      <c r="E62" s="33"/>
      <c r="F62" s="33"/>
      <c r="G62" s="33"/>
      <c r="H62" s="33"/>
      <c r="I62" s="33">
        <v>12540505</v>
      </c>
      <c r="J62" s="18">
        <f t="shared" si="9"/>
        <v>12540505</v>
      </c>
    </row>
    <row r="63" spans="1:11" x14ac:dyDescent="0.25">
      <c r="A63" s="33" t="s">
        <v>257</v>
      </c>
      <c r="B63" s="33"/>
      <c r="C63" s="33">
        <v>163000</v>
      </c>
      <c r="D63" s="33"/>
      <c r="E63" s="33"/>
      <c r="F63" s="33"/>
      <c r="G63" s="33"/>
      <c r="H63" s="33"/>
      <c r="I63" s="33"/>
      <c r="J63" s="18">
        <f t="shared" si="9"/>
        <v>163000</v>
      </c>
    </row>
    <row r="64" spans="1:11" x14ac:dyDescent="0.25">
      <c r="A64" s="33" t="s">
        <v>258</v>
      </c>
      <c r="B64" s="33">
        <f>88175-1</f>
        <v>88174</v>
      </c>
      <c r="C64" s="33">
        <v>30000</v>
      </c>
      <c r="D64" s="33"/>
      <c r="E64" s="33"/>
      <c r="F64" s="33">
        <v>197000</v>
      </c>
      <c r="G64" s="33"/>
      <c r="H64" s="33"/>
      <c r="I64" s="33"/>
      <c r="J64" s="18">
        <f t="shared" si="9"/>
        <v>315174</v>
      </c>
    </row>
    <row r="65" spans="1:11" x14ac:dyDescent="0.25">
      <c r="A65" s="33" t="s">
        <v>259</v>
      </c>
      <c r="B65" s="33"/>
      <c r="C65" s="33"/>
      <c r="D65" s="33"/>
      <c r="E65" s="33"/>
      <c r="F65" s="33"/>
      <c r="G65" s="33">
        <v>20000</v>
      </c>
      <c r="H65" s="33"/>
      <c r="I65" s="33"/>
      <c r="J65" s="18">
        <f t="shared" si="9"/>
        <v>20000</v>
      </c>
    </row>
    <row r="66" spans="1:11" x14ac:dyDescent="0.25">
      <c r="A66" s="33" t="s">
        <v>260</v>
      </c>
      <c r="B66" s="33"/>
      <c r="C66" s="33">
        <v>7</v>
      </c>
      <c r="D66" s="33"/>
      <c r="E66" s="33"/>
      <c r="F66" s="33"/>
      <c r="G66" s="33"/>
      <c r="H66" s="33"/>
      <c r="I66" s="33"/>
      <c r="J66" s="18">
        <f t="shared" si="9"/>
        <v>7</v>
      </c>
    </row>
    <row r="67" spans="1:11" x14ac:dyDescent="0.25">
      <c r="A67" s="33" t="s">
        <v>65</v>
      </c>
      <c r="B67" s="33"/>
      <c r="C67" s="33"/>
      <c r="D67" s="33"/>
      <c r="E67" s="33"/>
      <c r="F67" s="33"/>
      <c r="G67" s="33"/>
      <c r="H67" s="33"/>
      <c r="I67" s="33"/>
      <c r="J67" s="18">
        <f t="shared" si="9"/>
        <v>0</v>
      </c>
    </row>
    <row r="68" spans="1:11" x14ac:dyDescent="0.25">
      <c r="A68" s="33" t="s">
        <v>100</v>
      </c>
      <c r="F68" s="33"/>
      <c r="G68" s="33"/>
      <c r="H68" s="33"/>
      <c r="I68" s="33"/>
      <c r="J68" s="18">
        <f t="shared" si="9"/>
        <v>0</v>
      </c>
    </row>
    <row r="69" spans="1:11" x14ac:dyDescent="0.25">
      <c r="B69" s="70">
        <f t="shared" ref="B69:J69" si="10">SUM(B35:B68)</f>
        <v>245876</v>
      </c>
      <c r="C69" s="70">
        <f t="shared" si="10"/>
        <v>7262089</v>
      </c>
      <c r="D69" s="70">
        <f t="shared" si="10"/>
        <v>160006</v>
      </c>
      <c r="E69" s="70">
        <f t="shared" si="10"/>
        <v>-28979</v>
      </c>
      <c r="F69" s="70">
        <f t="shared" si="10"/>
        <v>4715799</v>
      </c>
      <c r="G69" s="70">
        <f t="shared" si="10"/>
        <v>20000</v>
      </c>
      <c r="H69" s="70">
        <f t="shared" si="10"/>
        <v>6510</v>
      </c>
      <c r="I69" s="70">
        <f t="shared" si="10"/>
        <v>22607024</v>
      </c>
      <c r="J69" s="70">
        <f t="shared" si="10"/>
        <v>34988325</v>
      </c>
    </row>
    <row r="70" spans="1:11" x14ac:dyDescent="0.25">
      <c r="A70" s="2" t="s">
        <v>261</v>
      </c>
      <c r="J70" s="1"/>
      <c r="K70" s="1"/>
    </row>
    <row r="71" spans="1:11" x14ac:dyDescent="0.25">
      <c r="A71" s="2" t="s">
        <v>262</v>
      </c>
      <c r="J71" s="1"/>
    </row>
    <row r="72" spans="1:11" x14ac:dyDescent="0.25">
      <c r="A72" s="2" t="s">
        <v>263</v>
      </c>
    </row>
  </sheetData>
  <mergeCells count="1">
    <mergeCell ref="B5:G5"/>
  </mergeCells>
  <printOptions horizontalCentered="1"/>
  <pageMargins left="0.5" right="0.5" top="0.5" bottom="0.5" header="0.3" footer="0.3"/>
  <pageSetup scale="70" fitToHeight="0" orientation="landscape" r:id="rId1"/>
  <headerFooter>
    <oddFooter>&amp;L&amp;8&amp;D&amp;C&amp;8&amp;P&amp;R&amp;8&amp;A</oddFooter>
  </headerFooter>
  <rowBreaks count="1" manualBreakCount="1">
    <brk id="32" max="16383" man="1"/>
  </rowBreaks>
  <ignoredErrors>
    <ignoredError sqref="F6 J6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7ED7E-DA71-46A8-8195-8D253586E61F}">
  <sheetPr>
    <tabColor rgb="FFFFC000"/>
    <pageSetUpPr fitToPage="1"/>
  </sheetPr>
  <dimension ref="A1:K110"/>
  <sheetViews>
    <sheetView workbookViewId="0">
      <selection activeCell="O19" sqref="O19"/>
    </sheetView>
  </sheetViews>
  <sheetFormatPr defaultColWidth="8.85546875" defaultRowHeight="15" x14ac:dyDescent="0.25"/>
  <cols>
    <col min="1" max="1" width="35.28515625" style="2" customWidth="1"/>
    <col min="2" max="3" width="13.28515625" style="2" customWidth="1"/>
    <col min="4" max="6" width="11.85546875" style="1" customWidth="1"/>
    <col min="7" max="7" width="11" style="1" customWidth="1"/>
    <col min="8" max="8" width="11.85546875" style="1" customWidth="1"/>
    <col min="9" max="9" width="13.140625" style="1" customWidth="1"/>
    <col min="10" max="10" width="13.42578125" style="1" customWidth="1"/>
    <col min="11" max="13" width="2.85546875" style="2" customWidth="1"/>
    <col min="14" max="14" width="14" style="2" customWidth="1"/>
    <col min="15" max="16384" width="8.85546875" style="2"/>
  </cols>
  <sheetData>
    <row r="1" spans="1:10" ht="25.9" customHeight="1" x14ac:dyDescent="0.4">
      <c r="A1" s="3"/>
      <c r="B1" s="3"/>
      <c r="C1" s="3"/>
      <c r="J1" s="26"/>
    </row>
    <row r="2" spans="1:10" ht="25.9" customHeight="1" x14ac:dyDescent="0.3">
      <c r="A2" s="3"/>
      <c r="B2" s="3"/>
      <c r="C2" s="3"/>
    </row>
    <row r="3" spans="1:10" ht="18.75" customHeight="1" x14ac:dyDescent="0.3">
      <c r="A3" s="3" t="s">
        <v>264</v>
      </c>
      <c r="B3" s="3"/>
      <c r="C3" s="3"/>
      <c r="J3" s="6" t="str">
        <f>+'Attachment A - Base'!J3</f>
        <v>BPA #24-01R</v>
      </c>
    </row>
    <row r="4" spans="1:10" ht="20.100000000000001" customHeight="1" x14ac:dyDescent="0.25">
      <c r="A4" s="17">
        <f>+'Attachment A - Base'!A4</f>
        <v>45527</v>
      </c>
      <c r="B4" s="17"/>
      <c r="C4" s="17"/>
    </row>
    <row r="5" spans="1:10" x14ac:dyDescent="0.25">
      <c r="D5" s="166"/>
      <c r="E5" s="166"/>
      <c r="F5" s="166"/>
      <c r="G5" s="166"/>
      <c r="H5" s="166"/>
      <c r="I5" s="166"/>
      <c r="J5" s="166"/>
    </row>
    <row r="6" spans="1:10" x14ac:dyDescent="0.25">
      <c r="B6" s="1">
        <v>-1</v>
      </c>
      <c r="J6" s="19"/>
    </row>
    <row r="7" spans="1:10" ht="75.75" thickBot="1" x14ac:dyDescent="0.3">
      <c r="A7" s="4"/>
      <c r="B7" s="5" t="s">
        <v>265</v>
      </c>
      <c r="C7" s="5" t="s">
        <v>69</v>
      </c>
      <c r="D7" s="5" t="s">
        <v>70</v>
      </c>
      <c r="E7" s="5" t="s">
        <v>71</v>
      </c>
      <c r="F7" s="5" t="s">
        <v>72</v>
      </c>
      <c r="G7" s="5" t="s">
        <v>73</v>
      </c>
      <c r="H7" s="5" t="s">
        <v>74</v>
      </c>
      <c r="I7" s="5" t="s">
        <v>266</v>
      </c>
      <c r="J7" s="20" t="s">
        <v>267</v>
      </c>
    </row>
    <row r="8" spans="1:10" ht="19.149999999999999" customHeight="1" x14ac:dyDescent="0.25">
      <c r="A8" s="14"/>
      <c r="B8" s="14"/>
      <c r="C8" s="14"/>
      <c r="D8" s="16"/>
      <c r="E8" s="16"/>
      <c r="F8" s="16"/>
      <c r="G8" s="16"/>
      <c r="H8" s="16"/>
      <c r="I8" s="16"/>
      <c r="J8" s="21"/>
    </row>
    <row r="9" spans="1:10" ht="19.149999999999999" customHeight="1" x14ac:dyDescent="0.25">
      <c r="A9" s="2" t="s">
        <v>20</v>
      </c>
      <c r="D9" s="148"/>
      <c r="E9" s="148"/>
      <c r="F9" s="148"/>
      <c r="G9" s="148"/>
      <c r="H9" s="148"/>
      <c r="I9" s="148"/>
      <c r="J9" s="22">
        <f>SUM(B9:I9)</f>
        <v>0</v>
      </c>
    </row>
    <row r="10" spans="1:10" ht="19.149999999999999" customHeight="1" x14ac:dyDescent="0.25">
      <c r="A10" s="2" t="s">
        <v>21</v>
      </c>
      <c r="B10" s="2">
        <f>1033006-300080</f>
        <v>732926</v>
      </c>
      <c r="C10" s="2">
        <v>989737</v>
      </c>
      <c r="D10" s="148">
        <v>1804566</v>
      </c>
      <c r="E10" s="148"/>
      <c r="F10" s="148"/>
      <c r="G10" s="148">
        <v>-4100</v>
      </c>
      <c r="H10" s="148">
        <v>279112</v>
      </c>
      <c r="I10" s="148"/>
      <c r="J10" s="22">
        <f t="shared" ref="J10:J17" si="0">SUM(B10:I10)</f>
        <v>3802241</v>
      </c>
    </row>
    <row r="11" spans="1:10" ht="19.149999999999999" customHeight="1" x14ac:dyDescent="0.25">
      <c r="A11" s="2" t="s">
        <v>22</v>
      </c>
      <c r="D11" s="148"/>
      <c r="E11" s="148"/>
      <c r="F11" s="148"/>
      <c r="G11" s="148"/>
      <c r="H11" s="148">
        <v>2525</v>
      </c>
      <c r="I11" s="148"/>
      <c r="J11" s="22">
        <f t="shared" si="0"/>
        <v>2525</v>
      </c>
    </row>
    <row r="12" spans="1:10" ht="19.149999999999999" customHeight="1" x14ac:dyDescent="0.25">
      <c r="A12" s="2" t="s">
        <v>23</v>
      </c>
      <c r="D12" s="148">
        <v>638712</v>
      </c>
      <c r="E12" s="148"/>
      <c r="F12" s="148"/>
      <c r="G12" s="148"/>
      <c r="H12" s="148"/>
      <c r="I12" s="148"/>
      <c r="J12" s="22">
        <f t="shared" si="0"/>
        <v>638712</v>
      </c>
    </row>
    <row r="13" spans="1:10" ht="19.149999999999999" customHeight="1" x14ac:dyDescent="0.25">
      <c r="A13" s="2" t="s">
        <v>24</v>
      </c>
      <c r="D13" s="148">
        <v>347369</v>
      </c>
      <c r="E13" s="148">
        <v>5274775</v>
      </c>
      <c r="F13" s="148">
        <v>1154270</v>
      </c>
      <c r="G13" s="148"/>
      <c r="H13" s="148">
        <v>43843</v>
      </c>
      <c r="I13" s="148"/>
      <c r="J13" s="22">
        <f t="shared" si="0"/>
        <v>6820257</v>
      </c>
    </row>
    <row r="14" spans="1:10" ht="19.149999999999999" customHeight="1" x14ac:dyDescent="0.25">
      <c r="A14" s="2" t="s">
        <v>25</v>
      </c>
      <c r="D14" s="148"/>
      <c r="E14" s="148"/>
      <c r="F14" s="148"/>
      <c r="G14" s="148"/>
      <c r="H14" s="148">
        <v>111024</v>
      </c>
      <c r="I14" s="148"/>
      <c r="J14" s="22">
        <f t="shared" si="0"/>
        <v>111024</v>
      </c>
    </row>
    <row r="15" spans="1:10" ht="19.149999999999999" customHeight="1" x14ac:dyDescent="0.25">
      <c r="A15" s="9" t="s">
        <v>26</v>
      </c>
      <c r="B15" s="149">
        <f t="shared" ref="B15:C15" si="1">SUM(B9:B14)</f>
        <v>732926</v>
      </c>
      <c r="C15" s="150">
        <f t="shared" si="1"/>
        <v>989737</v>
      </c>
      <c r="D15" s="150">
        <f t="shared" ref="D15:J15" si="2">SUM(D9:D14)</f>
        <v>2790647</v>
      </c>
      <c r="E15" s="150">
        <f t="shared" si="2"/>
        <v>5274775</v>
      </c>
      <c r="F15" s="150">
        <f t="shared" si="2"/>
        <v>1154270</v>
      </c>
      <c r="G15" s="150">
        <f t="shared" si="2"/>
        <v>-4100</v>
      </c>
      <c r="H15" s="150">
        <f t="shared" si="2"/>
        <v>436504</v>
      </c>
      <c r="I15" s="150">
        <f t="shared" si="2"/>
        <v>0</v>
      </c>
      <c r="J15" s="23">
        <f t="shared" si="2"/>
        <v>11374759</v>
      </c>
    </row>
    <row r="16" spans="1:10" ht="19.149999999999999" customHeight="1" x14ac:dyDescent="0.25">
      <c r="A16" s="2" t="s">
        <v>27</v>
      </c>
      <c r="D16" s="2"/>
      <c r="E16" s="2"/>
      <c r="F16" s="2"/>
      <c r="G16" s="2"/>
      <c r="H16" s="2"/>
      <c r="I16" s="148">
        <v>197190</v>
      </c>
      <c r="J16" s="22">
        <f t="shared" si="0"/>
        <v>197190</v>
      </c>
    </row>
    <row r="17" spans="1:11" ht="19.149999999999999" customHeight="1" x14ac:dyDescent="0.25">
      <c r="A17" s="2" t="s">
        <v>28</v>
      </c>
      <c r="B17" s="151">
        <v>300080</v>
      </c>
      <c r="C17" s="148"/>
      <c r="D17" s="148"/>
      <c r="E17" s="148"/>
      <c r="F17" s="148"/>
      <c r="G17" s="148"/>
      <c r="H17" s="148"/>
      <c r="I17" s="148">
        <f>-4560300+5185824-197190</f>
        <v>428334</v>
      </c>
      <c r="J17" s="22">
        <f t="shared" si="0"/>
        <v>728414</v>
      </c>
    </row>
    <row r="18" spans="1:11" ht="15" customHeight="1" thickBot="1" x14ac:dyDescent="0.3">
      <c r="A18" s="10" t="s">
        <v>29</v>
      </c>
      <c r="B18" s="152">
        <f t="shared" ref="B18:J18" si="3">SUM(B15:B17)</f>
        <v>1033006</v>
      </c>
      <c r="C18" s="153">
        <f t="shared" si="3"/>
        <v>989737</v>
      </c>
      <c r="D18" s="153">
        <f t="shared" si="3"/>
        <v>2790647</v>
      </c>
      <c r="E18" s="153">
        <f t="shared" si="3"/>
        <v>5274775</v>
      </c>
      <c r="F18" s="153">
        <f t="shared" si="3"/>
        <v>1154270</v>
      </c>
      <c r="G18" s="153">
        <f t="shared" si="3"/>
        <v>-4100</v>
      </c>
      <c r="H18" s="153">
        <f t="shared" si="3"/>
        <v>436504</v>
      </c>
      <c r="I18" s="153">
        <f t="shared" si="3"/>
        <v>625524</v>
      </c>
      <c r="J18" s="24">
        <f t="shared" si="3"/>
        <v>12300363</v>
      </c>
    </row>
    <row r="19" spans="1:11" ht="15" customHeight="1" x14ac:dyDescent="0.25">
      <c r="D19" s="12"/>
      <c r="E19" s="13"/>
      <c r="F19" s="13"/>
      <c r="G19" s="13"/>
      <c r="H19" s="13"/>
      <c r="I19" s="13"/>
      <c r="J19" s="13"/>
    </row>
    <row r="20" spans="1:11" ht="15" customHeight="1" x14ac:dyDescent="0.25">
      <c r="A20" s="2" t="s">
        <v>268</v>
      </c>
      <c r="D20" s="12"/>
      <c r="E20" s="13"/>
      <c r="F20" s="13"/>
      <c r="G20" s="13"/>
      <c r="H20" s="13"/>
      <c r="I20" s="13"/>
      <c r="J20" s="13"/>
    </row>
    <row r="21" spans="1:11" ht="15" customHeight="1" x14ac:dyDescent="0.25">
      <c r="D21" s="12"/>
      <c r="E21" s="13"/>
      <c r="F21" s="13"/>
      <c r="G21" s="13"/>
      <c r="H21" s="13"/>
      <c r="I21" s="13"/>
      <c r="J21" s="13"/>
    </row>
    <row r="22" spans="1:11" ht="15" customHeight="1" x14ac:dyDescent="0.25">
      <c r="A22" s="75"/>
      <c r="C22" s="75"/>
      <c r="D22" s="12"/>
      <c r="E22" s="13"/>
      <c r="F22" s="13"/>
      <c r="G22" s="13"/>
      <c r="H22" s="13"/>
      <c r="I22" s="13"/>
      <c r="J22" s="13"/>
    </row>
    <row r="23" spans="1:11" x14ac:dyDescent="0.25">
      <c r="A23" s="72" t="s">
        <v>99</v>
      </c>
    </row>
    <row r="24" spans="1:11" x14ac:dyDescent="0.25">
      <c r="A24" t="s">
        <v>101</v>
      </c>
      <c r="B24" s="2">
        <v>-363</v>
      </c>
      <c r="E24" s="2"/>
      <c r="F24" s="81"/>
      <c r="H24" s="81"/>
    </row>
    <row r="25" spans="1:11" x14ac:dyDescent="0.25">
      <c r="A25" t="s">
        <v>155</v>
      </c>
      <c r="B25" s="2">
        <v>-792</v>
      </c>
      <c r="E25" s="2"/>
      <c r="F25" s="81"/>
      <c r="H25" s="81"/>
      <c r="K25" s="82"/>
    </row>
    <row r="26" spans="1:11" x14ac:dyDescent="0.25">
      <c r="A26" t="s">
        <v>151</v>
      </c>
      <c r="B26" s="2">
        <v>4375</v>
      </c>
      <c r="E26" s="2"/>
      <c r="F26" s="81"/>
      <c r="H26" s="81"/>
      <c r="K26" s="82"/>
    </row>
    <row r="27" spans="1:11" x14ac:dyDescent="0.25">
      <c r="A27" t="s">
        <v>102</v>
      </c>
      <c r="B27" s="2">
        <v>-61</v>
      </c>
      <c r="E27" s="2"/>
      <c r="F27" s="81"/>
      <c r="H27" s="81"/>
      <c r="K27" s="82"/>
    </row>
    <row r="28" spans="1:11" x14ac:dyDescent="0.25">
      <c r="A28" t="s">
        <v>103</v>
      </c>
      <c r="B28" s="2">
        <v>-11988</v>
      </c>
      <c r="E28" s="2"/>
      <c r="F28" s="81"/>
      <c r="H28" s="81"/>
      <c r="K28" s="82"/>
    </row>
    <row r="29" spans="1:11" x14ac:dyDescent="0.25">
      <c r="A29" t="s">
        <v>154</v>
      </c>
      <c r="B29" s="2">
        <v>500</v>
      </c>
      <c r="E29" s="2"/>
      <c r="F29" s="81"/>
      <c r="H29" s="81"/>
      <c r="K29" s="82"/>
    </row>
    <row r="30" spans="1:11" x14ac:dyDescent="0.25">
      <c r="A30" t="s">
        <v>152</v>
      </c>
      <c r="B30" s="2">
        <v>693</v>
      </c>
      <c r="E30" s="2"/>
      <c r="F30" s="81"/>
      <c r="H30" s="81"/>
      <c r="K30" s="82"/>
    </row>
    <row r="31" spans="1:11" x14ac:dyDescent="0.25">
      <c r="A31" t="s">
        <v>153</v>
      </c>
      <c r="B31" s="2">
        <v>-298</v>
      </c>
      <c r="E31" s="2"/>
      <c r="F31" s="81"/>
      <c r="H31" s="81"/>
      <c r="K31" s="82"/>
    </row>
    <row r="32" spans="1:11" x14ac:dyDescent="0.25">
      <c r="A32" t="s">
        <v>104</v>
      </c>
      <c r="B32" s="2">
        <v>-521</v>
      </c>
      <c r="E32" s="2"/>
      <c r="F32" s="81"/>
      <c r="H32" s="81"/>
      <c r="K32" s="82"/>
    </row>
    <row r="33" spans="1:11" x14ac:dyDescent="0.25">
      <c r="A33" t="s">
        <v>105</v>
      </c>
      <c r="B33" s="2">
        <v>810</v>
      </c>
      <c r="E33" s="2"/>
      <c r="F33" s="81"/>
      <c r="H33" s="81"/>
      <c r="K33" s="82"/>
    </row>
    <row r="34" spans="1:11" x14ac:dyDescent="0.25">
      <c r="A34" t="s">
        <v>106</v>
      </c>
      <c r="B34" s="2">
        <v>5572</v>
      </c>
      <c r="E34" s="2"/>
      <c r="F34" s="81"/>
      <c r="H34" s="81"/>
      <c r="K34" s="82"/>
    </row>
    <row r="35" spans="1:11" x14ac:dyDescent="0.25">
      <c r="A35" t="s">
        <v>107</v>
      </c>
      <c r="B35" s="2">
        <v>-267</v>
      </c>
      <c r="E35" s="2"/>
      <c r="F35" s="81"/>
      <c r="H35" s="81"/>
      <c r="K35" s="82"/>
    </row>
    <row r="36" spans="1:11" x14ac:dyDescent="0.25">
      <c r="A36" t="s">
        <v>108</v>
      </c>
      <c r="B36" s="2">
        <v>482</v>
      </c>
      <c r="E36" s="2"/>
      <c r="F36" s="81"/>
      <c r="H36" s="81"/>
      <c r="K36" s="82"/>
    </row>
    <row r="37" spans="1:11" x14ac:dyDescent="0.25">
      <c r="A37" t="s">
        <v>109</v>
      </c>
      <c r="B37" s="2">
        <v>-2412</v>
      </c>
      <c r="E37" s="2"/>
      <c r="F37" s="81"/>
      <c r="H37" s="81"/>
      <c r="K37" s="82"/>
    </row>
    <row r="38" spans="1:11" x14ac:dyDescent="0.25">
      <c r="A38" t="s">
        <v>110</v>
      </c>
      <c r="B38" s="2">
        <v>-4956</v>
      </c>
      <c r="E38" s="2"/>
      <c r="F38" s="81"/>
      <c r="H38" s="81"/>
      <c r="K38" s="82"/>
    </row>
    <row r="39" spans="1:11" x14ac:dyDescent="0.25">
      <c r="A39" t="s">
        <v>111</v>
      </c>
      <c r="B39" s="2">
        <v>-9664</v>
      </c>
      <c r="E39" s="2"/>
      <c r="F39" s="81"/>
      <c r="H39" s="81"/>
      <c r="K39" s="82"/>
    </row>
    <row r="40" spans="1:11" x14ac:dyDescent="0.25">
      <c r="A40" t="s">
        <v>112</v>
      </c>
      <c r="B40" s="2">
        <v>-1179</v>
      </c>
      <c r="E40" s="2"/>
      <c r="F40" s="81"/>
      <c r="H40" s="81"/>
      <c r="K40" s="82"/>
    </row>
    <row r="41" spans="1:11" x14ac:dyDescent="0.25">
      <c r="A41" t="s">
        <v>113</v>
      </c>
      <c r="B41" s="2">
        <v>-1446</v>
      </c>
      <c r="E41" s="2"/>
      <c r="F41" s="81"/>
      <c r="H41" s="81"/>
      <c r="K41" s="82"/>
    </row>
    <row r="42" spans="1:11" x14ac:dyDescent="0.25">
      <c r="A42" t="s">
        <v>114</v>
      </c>
      <c r="B42" s="2">
        <v>-6030</v>
      </c>
      <c r="E42" s="2"/>
      <c r="F42" s="81"/>
      <c r="H42" s="81"/>
      <c r="K42" s="82"/>
    </row>
    <row r="43" spans="1:11" x14ac:dyDescent="0.25">
      <c r="A43" t="s">
        <v>115</v>
      </c>
      <c r="B43" s="2">
        <v>-18739</v>
      </c>
      <c r="E43" s="2"/>
      <c r="F43" s="81"/>
      <c r="H43" s="81"/>
      <c r="K43" s="82"/>
    </row>
    <row r="44" spans="1:11" x14ac:dyDescent="0.25">
      <c r="A44" t="s">
        <v>116</v>
      </c>
      <c r="B44" s="2">
        <v>-4985</v>
      </c>
      <c r="E44" s="2"/>
      <c r="F44" s="81"/>
      <c r="H44" s="81"/>
      <c r="K44" s="82"/>
    </row>
    <row r="45" spans="1:11" x14ac:dyDescent="0.25">
      <c r="A45" t="s">
        <v>269</v>
      </c>
      <c r="B45" s="2">
        <v>378</v>
      </c>
      <c r="E45" s="2"/>
      <c r="F45" s="81"/>
      <c r="H45" s="81"/>
      <c r="K45" s="82"/>
    </row>
    <row r="46" spans="1:11" x14ac:dyDescent="0.25">
      <c r="A46" t="s">
        <v>119</v>
      </c>
      <c r="B46" s="2">
        <v>12</v>
      </c>
      <c r="E46" s="2"/>
      <c r="F46" s="81"/>
      <c r="H46" s="81"/>
      <c r="K46" s="82"/>
    </row>
    <row r="47" spans="1:11" x14ac:dyDescent="0.25">
      <c r="A47" t="s">
        <v>120</v>
      </c>
      <c r="B47" s="2">
        <v>9590</v>
      </c>
      <c r="E47" s="2"/>
      <c r="F47" s="81"/>
      <c r="H47" s="81"/>
      <c r="K47" s="82"/>
    </row>
    <row r="48" spans="1:11" x14ac:dyDescent="0.25">
      <c r="A48" t="s">
        <v>121</v>
      </c>
      <c r="B48" s="2">
        <v>0</v>
      </c>
      <c r="E48" s="2"/>
      <c r="F48" s="81"/>
      <c r="H48" s="81"/>
      <c r="K48" s="82"/>
    </row>
    <row r="49" spans="1:11" x14ac:dyDescent="0.25">
      <c r="A49" t="s">
        <v>122</v>
      </c>
      <c r="B49" s="2">
        <v>2319</v>
      </c>
      <c r="E49" s="2"/>
      <c r="F49" s="81"/>
      <c r="H49" s="81"/>
      <c r="K49" s="82"/>
    </row>
    <row r="50" spans="1:11" x14ac:dyDescent="0.25">
      <c r="A50" t="s">
        <v>123</v>
      </c>
      <c r="B50" s="2">
        <v>-750</v>
      </c>
      <c r="E50" s="2"/>
      <c r="F50" s="81"/>
      <c r="H50" s="81"/>
      <c r="K50" s="82"/>
    </row>
    <row r="51" spans="1:11" x14ac:dyDescent="0.25">
      <c r="A51" t="s">
        <v>124</v>
      </c>
      <c r="B51" s="2">
        <v>-169</v>
      </c>
      <c r="E51" s="2"/>
      <c r="F51" s="81"/>
      <c r="H51" s="81"/>
      <c r="K51" s="82"/>
    </row>
    <row r="52" spans="1:11" x14ac:dyDescent="0.25">
      <c r="A52" t="s">
        <v>125</v>
      </c>
      <c r="B52" s="2">
        <v>-24</v>
      </c>
      <c r="E52" s="2"/>
      <c r="F52" s="81"/>
      <c r="H52" s="81"/>
      <c r="K52" s="82"/>
    </row>
    <row r="53" spans="1:11" x14ac:dyDescent="0.25">
      <c r="A53" t="s">
        <v>126</v>
      </c>
      <c r="B53" s="2">
        <v>51</v>
      </c>
      <c r="E53" s="2"/>
      <c r="F53" s="81"/>
      <c r="H53" s="81"/>
      <c r="K53" s="82"/>
    </row>
    <row r="54" spans="1:11" x14ac:dyDescent="0.25">
      <c r="A54" t="s">
        <v>127</v>
      </c>
      <c r="B54" s="2">
        <v>-181</v>
      </c>
      <c r="E54" s="2"/>
      <c r="F54" s="81"/>
      <c r="H54" s="81"/>
      <c r="K54" s="82"/>
    </row>
    <row r="55" spans="1:11" x14ac:dyDescent="0.25">
      <c r="A55" t="s">
        <v>128</v>
      </c>
      <c r="B55" s="2">
        <v>-122</v>
      </c>
      <c r="E55" s="2"/>
      <c r="F55" s="81"/>
      <c r="H55" s="81"/>
      <c r="K55" s="82"/>
    </row>
    <row r="56" spans="1:11" x14ac:dyDescent="0.25">
      <c r="A56" t="s">
        <v>129</v>
      </c>
      <c r="B56" s="2">
        <v>-116</v>
      </c>
      <c r="E56" s="2"/>
      <c r="F56" s="81"/>
      <c r="H56" s="81"/>
      <c r="K56" s="82"/>
    </row>
    <row r="57" spans="1:11" x14ac:dyDescent="0.25">
      <c r="A57" t="s">
        <v>131</v>
      </c>
      <c r="B57" s="2">
        <v>12423</v>
      </c>
      <c r="E57" s="2"/>
      <c r="F57" s="81"/>
      <c r="H57" s="81"/>
      <c r="K57" s="82"/>
    </row>
    <row r="58" spans="1:11" x14ac:dyDescent="0.25">
      <c r="A58" t="s">
        <v>132</v>
      </c>
      <c r="B58" s="2">
        <v>-2</v>
      </c>
      <c r="E58" s="2"/>
      <c r="F58" s="81"/>
      <c r="H58" s="81"/>
      <c r="K58" s="82"/>
    </row>
    <row r="59" spans="1:11" x14ac:dyDescent="0.25">
      <c r="A59" t="s">
        <v>133</v>
      </c>
      <c r="B59" s="2">
        <v>23</v>
      </c>
      <c r="E59" s="2"/>
      <c r="F59" s="81"/>
      <c r="H59" s="81"/>
      <c r="K59" s="82"/>
    </row>
    <row r="60" spans="1:11" x14ac:dyDescent="0.25">
      <c r="A60" t="s">
        <v>270</v>
      </c>
      <c r="B60" s="2">
        <v>-393</v>
      </c>
      <c r="E60" s="2"/>
      <c r="F60" s="81"/>
      <c r="H60" s="81"/>
      <c r="K60" s="82"/>
    </row>
    <row r="61" spans="1:11" x14ac:dyDescent="0.25">
      <c r="A61" t="s">
        <v>134</v>
      </c>
      <c r="B61" s="2">
        <v>2590</v>
      </c>
      <c r="E61" s="2"/>
      <c r="F61" s="81"/>
      <c r="H61" s="81"/>
      <c r="K61" s="82"/>
    </row>
    <row r="62" spans="1:11" x14ac:dyDescent="0.25">
      <c r="A62" t="s">
        <v>135</v>
      </c>
      <c r="B62" s="2">
        <v>6664</v>
      </c>
      <c r="E62" s="2"/>
      <c r="F62" s="81"/>
      <c r="H62" s="81"/>
      <c r="K62" s="82"/>
    </row>
    <row r="63" spans="1:11" x14ac:dyDescent="0.25">
      <c r="A63" t="s">
        <v>136</v>
      </c>
      <c r="B63" s="2">
        <v>-6398</v>
      </c>
      <c r="E63" s="2"/>
      <c r="F63" s="81"/>
      <c r="H63" s="81"/>
      <c r="K63" s="82"/>
    </row>
    <row r="64" spans="1:11" x14ac:dyDescent="0.25">
      <c r="A64" t="s">
        <v>137</v>
      </c>
      <c r="B64" s="2">
        <v>380</v>
      </c>
      <c r="E64" s="2"/>
      <c r="F64" s="81"/>
      <c r="H64" s="81"/>
      <c r="K64" s="82"/>
    </row>
    <row r="65" spans="1:11" x14ac:dyDescent="0.25">
      <c r="A65" t="s">
        <v>138</v>
      </c>
      <c r="B65" s="2">
        <v>362</v>
      </c>
      <c r="E65" s="2"/>
      <c r="F65" s="81"/>
      <c r="H65" s="81"/>
      <c r="K65" s="82"/>
    </row>
    <row r="66" spans="1:11" x14ac:dyDescent="0.25">
      <c r="A66" t="s">
        <v>139</v>
      </c>
      <c r="B66" s="2">
        <v>155</v>
      </c>
      <c r="E66" s="2"/>
      <c r="F66" s="81"/>
      <c r="H66" s="81"/>
      <c r="K66" s="82"/>
    </row>
    <row r="67" spans="1:11" x14ac:dyDescent="0.25">
      <c r="A67" t="s">
        <v>140</v>
      </c>
      <c r="B67" s="2">
        <v>19088</v>
      </c>
      <c r="E67" s="2"/>
      <c r="F67" s="81"/>
      <c r="H67" s="81"/>
      <c r="K67" s="82"/>
    </row>
    <row r="68" spans="1:11" x14ac:dyDescent="0.25">
      <c r="A68" t="s">
        <v>141</v>
      </c>
      <c r="B68" s="2">
        <v>-93</v>
      </c>
      <c r="E68" s="2"/>
      <c r="F68" s="81"/>
      <c r="H68" s="81"/>
      <c r="K68" s="82"/>
    </row>
    <row r="69" spans="1:11" x14ac:dyDescent="0.25">
      <c r="A69" t="s">
        <v>142</v>
      </c>
      <c r="B69" s="2">
        <v>863</v>
      </c>
      <c r="E69" s="2"/>
      <c r="K69" s="82"/>
    </row>
    <row r="70" spans="1:11" x14ac:dyDescent="0.25">
      <c r="A70" t="s">
        <v>143</v>
      </c>
      <c r="B70" s="2">
        <v>538</v>
      </c>
      <c r="E70" s="2"/>
      <c r="K70" s="82"/>
    </row>
    <row r="71" spans="1:11" x14ac:dyDescent="0.25">
      <c r="A71" t="s">
        <v>144</v>
      </c>
      <c r="B71" s="2">
        <v>3806</v>
      </c>
      <c r="E71" s="2"/>
      <c r="K71" s="82"/>
    </row>
    <row r="72" spans="1:11" x14ac:dyDescent="0.25">
      <c r="A72" t="s">
        <v>145</v>
      </c>
      <c r="B72" s="2">
        <v>784</v>
      </c>
      <c r="E72" s="2"/>
      <c r="K72" s="82"/>
    </row>
    <row r="73" spans="1:11" x14ac:dyDescent="0.25">
      <c r="A73" t="s">
        <v>146</v>
      </c>
      <c r="B73" s="2">
        <v>-1327</v>
      </c>
      <c r="E73" s="2"/>
      <c r="K73" s="82"/>
    </row>
    <row r="74" spans="1:11" x14ac:dyDescent="0.25">
      <c r="A74" t="s">
        <v>147</v>
      </c>
      <c r="B74" s="2">
        <v>-1515</v>
      </c>
      <c r="E74" s="2"/>
      <c r="K74" s="82"/>
    </row>
    <row r="75" spans="1:11" x14ac:dyDescent="0.25">
      <c r="A75" t="s">
        <v>148</v>
      </c>
      <c r="B75" s="2">
        <v>-290</v>
      </c>
      <c r="E75" s="2"/>
      <c r="K75" s="82"/>
    </row>
    <row r="76" spans="1:11" x14ac:dyDescent="0.25">
      <c r="A76" t="s">
        <v>149</v>
      </c>
      <c r="B76" s="2">
        <v>1164</v>
      </c>
      <c r="E76" s="2"/>
      <c r="K76" s="82"/>
    </row>
    <row r="77" spans="1:11" ht="13.9" customHeight="1" x14ac:dyDescent="0.25">
      <c r="A77" t="s">
        <v>150</v>
      </c>
      <c r="B77" s="2">
        <v>-2641</v>
      </c>
      <c r="E77" s="2"/>
      <c r="K77" s="82"/>
    </row>
    <row r="78" spans="1:11" x14ac:dyDescent="0.25">
      <c r="A78" s="113" t="s">
        <v>80</v>
      </c>
      <c r="B78" s="112"/>
      <c r="C78" s="70">
        <f>SUM(B24:B77)</f>
        <v>-4100</v>
      </c>
      <c r="E78" s="2"/>
      <c r="K78" s="82"/>
    </row>
    <row r="79" spans="1:11" x14ac:dyDescent="0.25">
      <c r="D79" s="33"/>
      <c r="G79" s="25"/>
      <c r="K79" s="82"/>
    </row>
    <row r="80" spans="1:11" x14ac:dyDescent="0.25">
      <c r="A80" s="72" t="s">
        <v>160</v>
      </c>
      <c r="G80" s="18"/>
      <c r="K80" s="82"/>
    </row>
    <row r="81" spans="1:11" x14ac:dyDescent="0.25">
      <c r="A81" s="2" t="s">
        <v>161</v>
      </c>
      <c r="B81" s="2">
        <v>14200</v>
      </c>
      <c r="D81" s="33"/>
      <c r="G81" s="33"/>
      <c r="K81" s="82"/>
    </row>
    <row r="82" spans="1:11" x14ac:dyDescent="0.25">
      <c r="A82" s="2" t="s">
        <v>162</v>
      </c>
      <c r="B82" s="2">
        <v>150012</v>
      </c>
      <c r="D82" s="33"/>
      <c r="G82" s="33"/>
    </row>
    <row r="83" spans="1:11" x14ac:dyDescent="0.25">
      <c r="A83" s="2" t="s">
        <v>163</v>
      </c>
      <c r="B83" s="2">
        <v>1241</v>
      </c>
      <c r="D83" s="33"/>
      <c r="G83" s="33"/>
    </row>
    <row r="84" spans="1:11" x14ac:dyDescent="0.25">
      <c r="A84" s="2" t="s">
        <v>164</v>
      </c>
      <c r="B84" s="2">
        <v>-150</v>
      </c>
      <c r="D84" s="33"/>
      <c r="G84" s="33"/>
    </row>
    <row r="85" spans="1:11" x14ac:dyDescent="0.25">
      <c r="A85" s="2" t="s">
        <v>165</v>
      </c>
      <c r="B85" s="2">
        <v>13203</v>
      </c>
      <c r="D85" s="33"/>
      <c r="G85" s="33"/>
    </row>
    <row r="86" spans="1:11" x14ac:dyDescent="0.25">
      <c r="A86" s="2" t="s">
        <v>271</v>
      </c>
      <c r="B86" s="2">
        <v>-2163</v>
      </c>
      <c r="D86" s="33"/>
      <c r="G86" s="33"/>
    </row>
    <row r="87" spans="1:11" x14ac:dyDescent="0.25">
      <c r="A87" s="2" t="s">
        <v>166</v>
      </c>
      <c r="B87" s="2">
        <v>-1412</v>
      </c>
      <c r="D87" s="33"/>
      <c r="G87" s="33"/>
    </row>
    <row r="88" spans="1:11" x14ac:dyDescent="0.25">
      <c r="A88" s="2" t="s">
        <v>272</v>
      </c>
      <c r="B88" s="2">
        <v>0</v>
      </c>
      <c r="D88" s="33"/>
      <c r="G88" s="33"/>
    </row>
    <row r="89" spans="1:11" x14ac:dyDescent="0.25">
      <c r="A89" s="2" t="s">
        <v>167</v>
      </c>
      <c r="B89" s="2">
        <v>1185</v>
      </c>
      <c r="D89" s="33"/>
      <c r="G89" s="33"/>
    </row>
    <row r="90" spans="1:11" x14ac:dyDescent="0.25">
      <c r="A90" s="2" t="s">
        <v>273</v>
      </c>
      <c r="B90" s="2">
        <v>0</v>
      </c>
      <c r="D90" s="33"/>
      <c r="G90" s="33"/>
      <c r="H90" s="18"/>
    </row>
    <row r="91" spans="1:11" x14ac:dyDescent="0.25">
      <c r="A91" s="2" t="s">
        <v>174</v>
      </c>
      <c r="B91" s="2">
        <v>0</v>
      </c>
      <c r="D91" s="33"/>
      <c r="G91" s="33"/>
      <c r="H91" s="18"/>
    </row>
    <row r="92" spans="1:11" x14ac:dyDescent="0.25">
      <c r="A92" s="2" t="s">
        <v>168</v>
      </c>
      <c r="B92" s="2">
        <v>58253</v>
      </c>
      <c r="D92" s="33"/>
      <c r="G92" s="33"/>
      <c r="H92" s="18"/>
    </row>
    <row r="93" spans="1:11" x14ac:dyDescent="0.25">
      <c r="A93" s="2" t="s">
        <v>169</v>
      </c>
      <c r="B93" s="2">
        <v>21</v>
      </c>
      <c r="D93" s="33"/>
      <c r="G93" s="33"/>
      <c r="H93" s="18"/>
    </row>
    <row r="94" spans="1:11" x14ac:dyDescent="0.25">
      <c r="A94" s="2" t="s">
        <v>170</v>
      </c>
      <c r="B94" s="2">
        <v>7826</v>
      </c>
      <c r="D94" s="33"/>
      <c r="G94" s="33"/>
      <c r="H94" s="18"/>
    </row>
    <row r="95" spans="1:11" x14ac:dyDescent="0.25">
      <c r="A95" s="2" t="s">
        <v>171</v>
      </c>
      <c r="B95" s="2">
        <v>16193</v>
      </c>
      <c r="D95" s="33"/>
      <c r="G95" s="33"/>
      <c r="H95" s="18"/>
    </row>
    <row r="96" spans="1:11" x14ac:dyDescent="0.25">
      <c r="A96" s="2" t="s">
        <v>172</v>
      </c>
      <c r="B96" s="2">
        <v>20703</v>
      </c>
      <c r="D96" s="33"/>
      <c r="G96" s="33"/>
      <c r="H96" s="18"/>
    </row>
    <row r="97" spans="1:8" x14ac:dyDescent="0.25">
      <c r="A97" s="76" t="s">
        <v>80</v>
      </c>
      <c r="B97" s="112"/>
      <c r="C97" s="70">
        <f>SUM(B81:B96)</f>
        <v>279112</v>
      </c>
      <c r="D97" s="2"/>
      <c r="G97" s="18"/>
      <c r="H97" s="18"/>
    </row>
    <row r="98" spans="1:8" x14ac:dyDescent="0.25">
      <c r="A98" t="s">
        <v>174</v>
      </c>
      <c r="B98" s="77">
        <v>2525</v>
      </c>
      <c r="C98" s="77"/>
      <c r="D98" s="33"/>
      <c r="G98" s="33"/>
      <c r="H98" s="18"/>
    </row>
    <row r="99" spans="1:8" x14ac:dyDescent="0.25">
      <c r="A99" s="76" t="s">
        <v>175</v>
      </c>
      <c r="B99" s="78"/>
      <c r="C99" s="78">
        <f>B98</f>
        <v>2525</v>
      </c>
      <c r="D99" s="33"/>
      <c r="G99" s="33"/>
      <c r="H99" s="18"/>
    </row>
    <row r="100" spans="1:8" x14ac:dyDescent="0.25">
      <c r="A100" t="s">
        <v>273</v>
      </c>
      <c r="B100" s="104">
        <v>43843</v>
      </c>
      <c r="C100" s="104"/>
      <c r="D100" s="33"/>
      <c r="G100" s="33"/>
      <c r="H100" s="18"/>
    </row>
    <row r="101" spans="1:8" x14ac:dyDescent="0.25">
      <c r="A101" s="76" t="s">
        <v>92</v>
      </c>
      <c r="B101" s="78"/>
      <c r="C101" s="78">
        <f>B100</f>
        <v>43843</v>
      </c>
      <c r="D101" s="33"/>
      <c r="G101" s="33"/>
      <c r="H101" s="18"/>
    </row>
    <row r="102" spans="1:8" x14ac:dyDescent="0.25">
      <c r="A102" t="s">
        <v>177</v>
      </c>
      <c r="B102" s="77">
        <v>111024</v>
      </c>
      <c r="C102" s="77"/>
      <c r="D102" s="33"/>
      <c r="G102" s="33"/>
      <c r="H102" s="18"/>
    </row>
    <row r="103" spans="1:8" x14ac:dyDescent="0.25">
      <c r="A103" s="76" t="s">
        <v>178</v>
      </c>
      <c r="B103" s="78"/>
      <c r="C103" s="78">
        <f>B102</f>
        <v>111024</v>
      </c>
      <c r="D103" s="33"/>
      <c r="G103" s="33"/>
      <c r="H103" s="18"/>
    </row>
    <row r="104" spans="1:8" x14ac:dyDescent="0.25">
      <c r="A104" s="76"/>
      <c r="B104" s="104"/>
      <c r="C104" s="104"/>
      <c r="D104" s="33"/>
      <c r="G104" s="33"/>
      <c r="H104" s="18"/>
    </row>
    <row r="105" spans="1:8" x14ac:dyDescent="0.25">
      <c r="A105" s="76"/>
      <c r="B105" s="104"/>
      <c r="C105" s="104"/>
      <c r="D105" s="33"/>
      <c r="G105" s="33"/>
      <c r="H105" s="18"/>
    </row>
    <row r="106" spans="1:8" x14ac:dyDescent="0.25">
      <c r="C106" s="77"/>
    </row>
    <row r="107" spans="1:8" x14ac:dyDescent="0.25">
      <c r="C107" s="77"/>
    </row>
    <row r="108" spans="1:8" x14ac:dyDescent="0.25">
      <c r="C108" s="77"/>
    </row>
    <row r="109" spans="1:8" x14ac:dyDescent="0.25">
      <c r="C109" s="77"/>
    </row>
    <row r="110" spans="1:8" x14ac:dyDescent="0.25">
      <c r="C110" s="77"/>
    </row>
  </sheetData>
  <mergeCells count="1">
    <mergeCell ref="D5:J5"/>
  </mergeCells>
  <printOptions horizontalCentered="1"/>
  <pageMargins left="0.5" right="0.5" top="0.5" bottom="0.5" header="0.3" footer="0.3"/>
  <pageSetup scale="86" fitToHeight="0" orientation="landscape" r:id="rId1"/>
  <headerFooter>
    <oddFooter>&amp;L&amp;8&amp;D&amp;C&amp;8&amp;P&amp;R&amp;8&amp;A</oddFooter>
  </headerFooter>
  <ignoredErrors>
    <ignoredError sqref="J15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931D9-C9BA-4160-A8C5-A9102A31D3E4}">
  <sheetPr>
    <tabColor theme="7"/>
    <pageSetUpPr fitToPage="1"/>
  </sheetPr>
  <dimension ref="B3:Q46"/>
  <sheetViews>
    <sheetView tabSelected="1" workbookViewId="0">
      <selection activeCell="C24" sqref="C24:E24"/>
    </sheetView>
  </sheetViews>
  <sheetFormatPr defaultRowHeight="15" x14ac:dyDescent="0.25"/>
  <cols>
    <col min="1" max="1" width="3.5703125" customWidth="1"/>
    <col min="2" max="2" width="23.7109375" customWidth="1"/>
    <col min="3" max="4" width="10.28515625" customWidth="1"/>
    <col min="5" max="5" width="11.5703125" customWidth="1"/>
    <col min="6" max="6" width="4.28515625" customWidth="1"/>
    <col min="7" max="9" width="9.28515625" customWidth="1"/>
    <col min="10" max="10" width="3.28515625" customWidth="1"/>
    <col min="11" max="11" width="23.5703125" bestFit="1" customWidth="1"/>
    <col min="12" max="14" width="13.140625" customWidth="1"/>
    <col min="15" max="15" width="2" customWidth="1"/>
    <col min="16" max="16" width="10.85546875" bestFit="1" customWidth="1"/>
    <col min="17" max="17" width="11.42578125" customWidth="1"/>
  </cols>
  <sheetData>
    <row r="3" spans="2:17" x14ac:dyDescent="0.25">
      <c r="Q3" s="102"/>
    </row>
    <row r="4" spans="2:17" x14ac:dyDescent="0.25">
      <c r="Q4" s="83" t="str">
        <f>+'Attachment A - Base'!J3</f>
        <v>BPA #24-01R</v>
      </c>
    </row>
    <row r="5" spans="2:17" ht="18.75" x14ac:dyDescent="0.3">
      <c r="B5" s="3" t="s">
        <v>274</v>
      </c>
      <c r="C5" s="25"/>
      <c r="D5" s="25"/>
      <c r="E5" s="25"/>
      <c r="F5" s="25"/>
      <c r="G5" s="25"/>
      <c r="H5" s="25"/>
      <c r="I5" s="25"/>
    </row>
    <row r="6" spans="2:17" ht="15.75" x14ac:dyDescent="0.25">
      <c r="B6" s="17">
        <f>+'Attachment A - Base'!A4</f>
        <v>45527</v>
      </c>
      <c r="C6" s="25"/>
      <c r="D6" s="25"/>
      <c r="E6" s="25"/>
      <c r="F6" s="25"/>
      <c r="G6" s="25"/>
      <c r="H6" s="25"/>
      <c r="I6" s="25"/>
    </row>
    <row r="7" spans="2:17" x14ac:dyDescent="0.25">
      <c r="B7" s="25" t="s">
        <v>275</v>
      </c>
      <c r="C7" s="173" t="s">
        <v>2</v>
      </c>
      <c r="D7" s="173"/>
      <c r="E7" s="176"/>
      <c r="F7" s="77"/>
      <c r="G7" s="173" t="s">
        <v>4</v>
      </c>
      <c r="H7" s="174"/>
      <c r="I7" s="175"/>
      <c r="L7" s="173" t="s">
        <v>276</v>
      </c>
      <c r="M7" s="174"/>
      <c r="N7" s="175"/>
    </row>
    <row r="8" spans="2:17" x14ac:dyDescent="0.25">
      <c r="B8" s="25" t="s">
        <v>275</v>
      </c>
      <c r="C8" s="105" t="s">
        <v>277</v>
      </c>
      <c r="D8" s="105" t="s">
        <v>278</v>
      </c>
      <c r="E8" s="105" t="s">
        <v>7</v>
      </c>
      <c r="F8" s="106"/>
      <c r="G8" s="177" t="s">
        <v>276</v>
      </c>
      <c r="H8" s="178"/>
      <c r="I8" s="179"/>
      <c r="L8" s="105" t="s">
        <v>277</v>
      </c>
      <c r="M8" s="105" t="s">
        <v>278</v>
      </c>
      <c r="N8" s="105" t="s">
        <v>7</v>
      </c>
      <c r="P8" s="105" t="s">
        <v>279</v>
      </c>
      <c r="Q8" s="105" t="s">
        <v>280</v>
      </c>
    </row>
    <row r="9" spans="2:17" x14ac:dyDescent="0.25">
      <c r="B9" s="25"/>
      <c r="C9" s="107" t="s">
        <v>281</v>
      </c>
      <c r="D9" s="107" t="s">
        <v>282</v>
      </c>
      <c r="E9" s="108" t="s">
        <v>283</v>
      </c>
      <c r="F9" s="104"/>
      <c r="G9" s="111"/>
      <c r="H9" s="109"/>
      <c r="I9" s="110" t="s">
        <v>8</v>
      </c>
      <c r="L9" s="107" t="s">
        <v>9</v>
      </c>
      <c r="M9" s="107" t="s">
        <v>284</v>
      </c>
      <c r="N9" s="108"/>
      <c r="P9" s="108" t="s">
        <v>285</v>
      </c>
      <c r="Q9" s="108" t="s">
        <v>205</v>
      </c>
    </row>
    <row r="10" spans="2:17" x14ac:dyDescent="0.25">
      <c r="B10" s="25"/>
      <c r="C10" s="173" t="s">
        <v>286</v>
      </c>
      <c r="D10" s="173"/>
      <c r="E10" s="176"/>
      <c r="F10" s="77"/>
      <c r="G10" s="86" t="s">
        <v>286</v>
      </c>
      <c r="H10" s="86" t="s">
        <v>287</v>
      </c>
      <c r="I10" s="86" t="s">
        <v>7</v>
      </c>
      <c r="L10" s="25"/>
      <c r="M10" s="25"/>
      <c r="N10" s="25"/>
    </row>
    <row r="11" spans="2:17" ht="17.25" x14ac:dyDescent="0.4">
      <c r="B11" s="87" t="s">
        <v>288</v>
      </c>
      <c r="C11" s="25"/>
      <c r="D11" s="25"/>
      <c r="E11" s="25"/>
      <c r="F11" s="25"/>
      <c r="G11" s="25"/>
      <c r="H11" s="25"/>
      <c r="I11" s="25"/>
      <c r="K11" s="88" t="s">
        <v>286</v>
      </c>
      <c r="L11" s="25"/>
      <c r="M11" s="25"/>
      <c r="N11" s="25"/>
      <c r="P11" s="25"/>
    </row>
    <row r="12" spans="2:17" x14ac:dyDescent="0.25">
      <c r="B12" s="25" t="s">
        <v>20</v>
      </c>
      <c r="C12" s="89">
        <v>120311</v>
      </c>
      <c r="D12" s="90">
        <v>350985</v>
      </c>
      <c r="E12" s="25">
        <f>SUM(C12:D12)</f>
        <v>471296</v>
      </c>
      <c r="F12" s="69"/>
      <c r="G12" s="90">
        <v>0</v>
      </c>
      <c r="H12" s="90">
        <v>0</v>
      </c>
      <c r="I12" s="90">
        <f>SUM(G12:H12)</f>
        <v>0</v>
      </c>
      <c r="K12" s="91" t="s">
        <v>20</v>
      </c>
      <c r="L12" s="89">
        <f t="shared" ref="L12:L17" si="0">C12</f>
        <v>120311</v>
      </c>
      <c r="M12" s="92">
        <f>+D12+I12</f>
        <v>350985</v>
      </c>
      <c r="N12" s="25">
        <f>SUM(L12:M12)</f>
        <v>471296</v>
      </c>
      <c r="P12" s="89">
        <v>525549</v>
      </c>
      <c r="Q12" s="33">
        <f>+P12-M12</f>
        <v>174564</v>
      </c>
    </row>
    <row r="13" spans="2:17" x14ac:dyDescent="0.25">
      <c r="B13" s="25" t="s">
        <v>21</v>
      </c>
      <c r="C13" s="89">
        <v>2342001</v>
      </c>
      <c r="D13" s="90">
        <v>6832546</v>
      </c>
      <c r="E13" s="25">
        <f t="shared" ref="E13:E17" si="1">SUM(C13:D13)</f>
        <v>9174547</v>
      </c>
      <c r="F13" s="69"/>
      <c r="G13" s="90">
        <v>174787</v>
      </c>
      <c r="H13" s="90">
        <v>64406</v>
      </c>
      <c r="I13" s="90">
        <f t="shared" ref="I13:I17" si="2">SUM(G13:H13)</f>
        <v>239193</v>
      </c>
      <c r="K13" s="91" t="s">
        <v>21</v>
      </c>
      <c r="L13" s="89">
        <f t="shared" si="0"/>
        <v>2342001</v>
      </c>
      <c r="M13" s="92">
        <f t="shared" ref="M13:M17" si="3">+D13+I13</f>
        <v>7071739</v>
      </c>
      <c r="N13" s="25">
        <f t="shared" ref="N13:N20" si="4">SUM(L13:M13)</f>
        <v>9413740</v>
      </c>
      <c r="P13" s="89">
        <v>9487212</v>
      </c>
      <c r="Q13" s="33">
        <f t="shared" ref="Q13:Q17" si="5">+P13-M13</f>
        <v>2415473</v>
      </c>
    </row>
    <row r="14" spans="2:17" x14ac:dyDescent="0.25">
      <c r="B14" s="25" t="s">
        <v>22</v>
      </c>
      <c r="C14" s="89">
        <v>217178</v>
      </c>
      <c r="D14" s="90">
        <v>633658</v>
      </c>
      <c r="E14" s="25">
        <f t="shared" si="1"/>
        <v>850836</v>
      </c>
      <c r="F14" s="69"/>
      <c r="G14" s="90">
        <v>0</v>
      </c>
      <c r="H14" s="90">
        <v>0</v>
      </c>
      <c r="I14" s="90">
        <f t="shared" si="2"/>
        <v>0</v>
      </c>
      <c r="K14" s="91" t="s">
        <v>22</v>
      </c>
      <c r="L14" s="89">
        <f t="shared" si="0"/>
        <v>217178</v>
      </c>
      <c r="M14" s="92">
        <f t="shared" si="3"/>
        <v>633658</v>
      </c>
      <c r="N14" s="25">
        <f t="shared" si="4"/>
        <v>850836</v>
      </c>
      <c r="P14" s="89">
        <v>971187</v>
      </c>
      <c r="Q14" s="33">
        <f t="shared" si="5"/>
        <v>337529</v>
      </c>
    </row>
    <row r="15" spans="2:17" x14ac:dyDescent="0.25">
      <c r="B15" s="25" t="s">
        <v>23</v>
      </c>
      <c r="C15" s="89">
        <v>162265</v>
      </c>
      <c r="D15" s="90">
        <v>473387</v>
      </c>
      <c r="E15" s="25">
        <f t="shared" si="1"/>
        <v>635652</v>
      </c>
      <c r="F15" s="69"/>
      <c r="G15" s="90">
        <v>0</v>
      </c>
      <c r="H15" s="90">
        <v>0</v>
      </c>
      <c r="I15" s="90">
        <f t="shared" si="2"/>
        <v>0</v>
      </c>
      <c r="K15" s="91" t="s">
        <v>23</v>
      </c>
      <c r="L15" s="89">
        <f t="shared" si="0"/>
        <v>162265</v>
      </c>
      <c r="M15" s="92">
        <f t="shared" si="3"/>
        <v>473387</v>
      </c>
      <c r="N15" s="25">
        <f t="shared" si="4"/>
        <v>635652</v>
      </c>
      <c r="P15" s="89">
        <v>680348</v>
      </c>
      <c r="Q15" s="33">
        <f t="shared" si="5"/>
        <v>206961</v>
      </c>
    </row>
    <row r="16" spans="2:17" x14ac:dyDescent="0.25">
      <c r="B16" s="25" t="s">
        <v>24</v>
      </c>
      <c r="C16" s="89">
        <v>126589</v>
      </c>
      <c r="D16" s="90">
        <v>369292</v>
      </c>
      <c r="E16" s="25">
        <f t="shared" si="1"/>
        <v>495881</v>
      </c>
      <c r="F16" s="69"/>
      <c r="G16" s="90">
        <v>393786</v>
      </c>
      <c r="H16" s="90">
        <v>139907</v>
      </c>
      <c r="I16" s="90">
        <f t="shared" si="2"/>
        <v>533693</v>
      </c>
      <c r="K16" s="91" t="s">
        <v>24</v>
      </c>
      <c r="L16" s="89">
        <f t="shared" si="0"/>
        <v>126589</v>
      </c>
      <c r="M16" s="92">
        <f t="shared" si="3"/>
        <v>902985</v>
      </c>
      <c r="N16" s="25">
        <f t="shared" si="4"/>
        <v>1029574</v>
      </c>
      <c r="P16" s="89">
        <v>1373146</v>
      </c>
      <c r="Q16" s="33">
        <f t="shared" si="5"/>
        <v>470161</v>
      </c>
    </row>
    <row r="17" spans="2:17" x14ac:dyDescent="0.25">
      <c r="B17" s="25" t="s">
        <v>25</v>
      </c>
      <c r="C17" s="89">
        <v>52477</v>
      </c>
      <c r="D17" s="90">
        <v>153105</v>
      </c>
      <c r="E17" s="89">
        <f t="shared" si="1"/>
        <v>205582</v>
      </c>
      <c r="F17" s="69"/>
      <c r="G17" s="90">
        <v>428</v>
      </c>
      <c r="H17" s="90">
        <v>145</v>
      </c>
      <c r="I17" s="90">
        <f t="shared" si="2"/>
        <v>573</v>
      </c>
      <c r="K17" s="91" t="s">
        <v>25</v>
      </c>
      <c r="L17" s="89">
        <f t="shared" si="0"/>
        <v>52477</v>
      </c>
      <c r="M17" s="92">
        <f t="shared" si="3"/>
        <v>153678</v>
      </c>
      <c r="N17" s="25">
        <f t="shared" si="4"/>
        <v>206155</v>
      </c>
      <c r="P17" s="89">
        <v>241531</v>
      </c>
      <c r="Q17" s="33">
        <f t="shared" si="5"/>
        <v>87853</v>
      </c>
    </row>
    <row r="18" spans="2:17" x14ac:dyDescent="0.25">
      <c r="B18" s="25"/>
      <c r="C18" s="93">
        <f>SUM(C12:C17)</f>
        <v>3020821</v>
      </c>
      <c r="D18" s="94">
        <f>SUM(D12:D17)</f>
        <v>8812973</v>
      </c>
      <c r="E18" s="93">
        <f>SUM(E12:E17)</f>
        <v>11833794</v>
      </c>
      <c r="F18" s="25"/>
      <c r="G18" s="94">
        <f>SUM(G12:G17)</f>
        <v>569001</v>
      </c>
      <c r="H18" s="94">
        <f>SUM(H12:H17)</f>
        <v>204458</v>
      </c>
      <c r="I18" s="94">
        <f>SUM(I12:I17)</f>
        <v>773459</v>
      </c>
      <c r="L18" s="93">
        <f>SUM(L12:L17)</f>
        <v>3020821</v>
      </c>
      <c r="M18" s="95">
        <f>SUM(M12:M17)</f>
        <v>9586432</v>
      </c>
      <c r="N18" s="93">
        <f t="shared" si="4"/>
        <v>12607253</v>
      </c>
      <c r="P18" s="93">
        <f>SUM(P12:P17)</f>
        <v>13278973</v>
      </c>
      <c r="Q18" s="93">
        <f>SUM(Q12:Q17)</f>
        <v>3692541</v>
      </c>
    </row>
    <row r="19" spans="2:17" x14ac:dyDescent="0.25">
      <c r="B19" s="25"/>
      <c r="C19" s="25"/>
      <c r="D19" s="89"/>
      <c r="E19" s="25"/>
      <c r="F19" s="25"/>
      <c r="G19" s="25"/>
      <c r="H19" s="25"/>
      <c r="I19" s="25"/>
      <c r="K19" s="88" t="s">
        <v>287</v>
      </c>
      <c r="L19" s="126"/>
      <c r="M19" s="96"/>
    </row>
    <row r="20" spans="2:17" x14ac:dyDescent="0.25">
      <c r="B20" s="25"/>
      <c r="C20" s="25"/>
      <c r="D20" s="89"/>
      <c r="E20" s="25"/>
      <c r="F20" s="25"/>
      <c r="G20" s="25"/>
      <c r="H20" s="25"/>
      <c r="I20" s="25"/>
      <c r="K20" s="91" t="s">
        <v>289</v>
      </c>
      <c r="L20" s="97">
        <f>C31</f>
        <v>1065179</v>
      </c>
      <c r="M20" s="124">
        <f>D31</f>
        <v>3107574</v>
      </c>
      <c r="N20" s="98">
        <f t="shared" si="4"/>
        <v>4172753</v>
      </c>
    </row>
    <row r="21" spans="2:17" x14ac:dyDescent="0.25">
      <c r="B21" s="25"/>
      <c r="C21" s="25"/>
      <c r="D21" s="89"/>
      <c r="E21" s="25"/>
      <c r="F21" s="25"/>
      <c r="G21" s="25"/>
      <c r="H21" s="25"/>
      <c r="I21" s="25"/>
      <c r="K21" s="99" t="s">
        <v>290</v>
      </c>
      <c r="L21" s="33">
        <f>+L18+L20</f>
        <v>4086000</v>
      </c>
      <c r="M21" s="125">
        <f t="shared" ref="M21:N21" si="6">+M18+M20</f>
        <v>12694006</v>
      </c>
      <c r="N21" s="33">
        <f t="shared" si="6"/>
        <v>16780006</v>
      </c>
    </row>
    <row r="22" spans="2:17" x14ac:dyDescent="0.25">
      <c r="F22" s="77"/>
      <c r="G22" s="25"/>
      <c r="H22" s="25"/>
      <c r="I22" s="25"/>
      <c r="L22" s="69">
        <f>+L21/N21</f>
        <v>0.24350408456349779</v>
      </c>
      <c r="M22" s="69">
        <f>+M21/N21</f>
        <v>0.75649591543650219</v>
      </c>
    </row>
    <row r="23" spans="2:17" ht="17.25" x14ac:dyDescent="0.4">
      <c r="B23" s="87" t="s">
        <v>28</v>
      </c>
      <c r="C23" s="86" t="s">
        <v>277</v>
      </c>
      <c r="D23" s="100" t="s">
        <v>291</v>
      </c>
      <c r="E23" s="86" t="s">
        <v>7</v>
      </c>
      <c r="F23" s="77"/>
      <c r="G23" s="25"/>
      <c r="H23" s="25"/>
      <c r="I23" s="25"/>
      <c r="L23" s="86" t="s">
        <v>277</v>
      </c>
      <c r="M23" s="100" t="s">
        <v>291</v>
      </c>
      <c r="N23" s="86" t="s">
        <v>7</v>
      </c>
    </row>
    <row r="24" spans="2:17" ht="17.25" x14ac:dyDescent="0.4">
      <c r="B24" s="87"/>
      <c r="C24" s="173" t="s">
        <v>287</v>
      </c>
      <c r="D24" s="173"/>
      <c r="E24" s="173"/>
      <c r="F24" s="25"/>
      <c r="G24" s="25"/>
      <c r="H24" s="25"/>
      <c r="I24" s="25"/>
      <c r="L24" s="173" t="s">
        <v>292</v>
      </c>
      <c r="M24" s="174"/>
      <c r="N24" s="175"/>
    </row>
    <row r="25" spans="2:17" x14ac:dyDescent="0.25">
      <c r="B25" s="25" t="s">
        <v>20</v>
      </c>
      <c r="C25" s="25">
        <v>43299</v>
      </c>
      <c r="D25" s="25">
        <v>126313</v>
      </c>
      <c r="E25" s="25">
        <f t="shared" ref="E25:E30" si="7">SUM(C25:D25)</f>
        <v>169612</v>
      </c>
      <c r="F25" s="69"/>
      <c r="G25" s="25"/>
      <c r="H25" s="25"/>
      <c r="I25" s="25"/>
      <c r="L25" s="33">
        <f t="shared" ref="L25:M30" si="8">+C25</f>
        <v>43299</v>
      </c>
      <c r="M25" s="33">
        <f t="shared" si="8"/>
        <v>126313</v>
      </c>
      <c r="N25" s="25">
        <f t="shared" ref="N25:N30" si="9">SUM(L25:M25)</f>
        <v>169612</v>
      </c>
    </row>
    <row r="26" spans="2:17" x14ac:dyDescent="0.25">
      <c r="B26" s="25" t="s">
        <v>21</v>
      </c>
      <c r="C26" s="25">
        <v>823496</v>
      </c>
      <c r="D26" s="25">
        <v>2402428</v>
      </c>
      <c r="E26" s="25">
        <f t="shared" si="7"/>
        <v>3225924</v>
      </c>
      <c r="F26" s="69"/>
      <c r="G26" s="25"/>
      <c r="H26" s="25"/>
      <c r="I26" s="25"/>
      <c r="L26" s="33">
        <f t="shared" si="8"/>
        <v>823496</v>
      </c>
      <c r="M26" s="33">
        <f t="shared" si="8"/>
        <v>2402428</v>
      </c>
      <c r="N26" s="25">
        <f t="shared" si="9"/>
        <v>3225924</v>
      </c>
    </row>
    <row r="27" spans="2:17" x14ac:dyDescent="0.25">
      <c r="B27" s="25" t="s">
        <v>22</v>
      </c>
      <c r="C27" s="25">
        <v>76756</v>
      </c>
      <c r="D27" s="25">
        <v>223983</v>
      </c>
      <c r="E27" s="25">
        <f t="shared" si="7"/>
        <v>300739</v>
      </c>
      <c r="F27" s="69"/>
      <c r="G27" s="25"/>
      <c r="H27" s="25"/>
      <c r="I27" s="25"/>
      <c r="L27" s="33">
        <f t="shared" si="8"/>
        <v>76756</v>
      </c>
      <c r="M27" s="33">
        <f t="shared" si="8"/>
        <v>223983</v>
      </c>
      <c r="N27" s="25">
        <f t="shared" si="9"/>
        <v>300739</v>
      </c>
    </row>
    <row r="28" spans="2:17" x14ac:dyDescent="0.25">
      <c r="B28" s="25" t="s">
        <v>23</v>
      </c>
      <c r="C28" s="25">
        <v>57178</v>
      </c>
      <c r="D28" s="25">
        <v>166808</v>
      </c>
      <c r="E28" s="25">
        <f t="shared" si="7"/>
        <v>223986</v>
      </c>
      <c r="F28" s="69"/>
      <c r="G28" s="25"/>
      <c r="H28" s="25"/>
      <c r="I28" s="25"/>
      <c r="L28" s="33">
        <f t="shared" si="8"/>
        <v>57178</v>
      </c>
      <c r="M28" s="33">
        <f t="shared" si="8"/>
        <v>166808</v>
      </c>
      <c r="N28" s="25">
        <f t="shared" si="9"/>
        <v>223986</v>
      </c>
    </row>
    <row r="29" spans="2:17" x14ac:dyDescent="0.25">
      <c r="B29" s="25" t="s">
        <v>24</v>
      </c>
      <c r="C29" s="25">
        <v>44971</v>
      </c>
      <c r="D29" s="25">
        <v>131215</v>
      </c>
      <c r="E29" s="25">
        <f t="shared" si="7"/>
        <v>176186</v>
      </c>
      <c r="F29" s="69"/>
      <c r="G29" s="25"/>
      <c r="H29" s="25"/>
      <c r="I29" s="25"/>
      <c r="L29" s="33">
        <f t="shared" si="8"/>
        <v>44971</v>
      </c>
      <c r="M29" s="33">
        <f t="shared" si="8"/>
        <v>131215</v>
      </c>
      <c r="N29" s="25">
        <f t="shared" si="9"/>
        <v>176186</v>
      </c>
    </row>
    <row r="30" spans="2:17" x14ac:dyDescent="0.25">
      <c r="B30" s="25" t="s">
        <v>25</v>
      </c>
      <c r="C30" s="25">
        <v>19479</v>
      </c>
      <c r="D30" s="25">
        <v>56827</v>
      </c>
      <c r="E30" s="25">
        <f t="shared" si="7"/>
        <v>76306</v>
      </c>
      <c r="F30" s="69"/>
      <c r="G30" s="25"/>
      <c r="H30" s="25"/>
      <c r="I30" s="25"/>
      <c r="L30" s="97">
        <f t="shared" si="8"/>
        <v>19479</v>
      </c>
      <c r="M30" s="97">
        <f t="shared" si="8"/>
        <v>56827</v>
      </c>
      <c r="N30" s="98">
        <f t="shared" si="9"/>
        <v>76306</v>
      </c>
    </row>
    <row r="31" spans="2:17" x14ac:dyDescent="0.25">
      <c r="B31" s="25"/>
      <c r="C31" s="101">
        <f>SUM(C25:C30)</f>
        <v>1065179</v>
      </c>
      <c r="D31" s="101">
        <f>SUM(D25:D30)</f>
        <v>3107574</v>
      </c>
      <c r="E31" s="93">
        <f>SUM(E25:E30)</f>
        <v>4172753</v>
      </c>
      <c r="L31" s="33">
        <f>SUM(L25:L30)</f>
        <v>1065179</v>
      </c>
      <c r="M31" s="33">
        <f t="shared" ref="M31:N31" si="10">SUM(M25:M30)</f>
        <v>3107574</v>
      </c>
      <c r="N31" s="33">
        <f t="shared" si="10"/>
        <v>4172753</v>
      </c>
    </row>
    <row r="33" spans="2:14" x14ac:dyDescent="0.25">
      <c r="M33" s="102" t="s">
        <v>290</v>
      </c>
      <c r="N33" s="103">
        <f>N21</f>
        <v>16780006</v>
      </c>
    </row>
    <row r="34" spans="2:14" x14ac:dyDescent="0.25">
      <c r="B34" t="s">
        <v>261</v>
      </c>
    </row>
    <row r="35" spans="2:14" x14ac:dyDescent="0.25">
      <c r="B35" t="s">
        <v>293</v>
      </c>
    </row>
    <row r="36" spans="2:14" x14ac:dyDescent="0.25">
      <c r="B36" t="s">
        <v>294</v>
      </c>
    </row>
    <row r="37" spans="2:14" x14ac:dyDescent="0.25">
      <c r="B37" t="s">
        <v>295</v>
      </c>
    </row>
    <row r="38" spans="2:14" x14ac:dyDescent="0.25">
      <c r="B38" t="s">
        <v>296</v>
      </c>
    </row>
    <row r="39" spans="2:14" x14ac:dyDescent="0.25">
      <c r="B39" t="s">
        <v>297</v>
      </c>
    </row>
    <row r="40" spans="2:14" x14ac:dyDescent="0.25">
      <c r="B40" t="s">
        <v>298</v>
      </c>
    </row>
    <row r="41" spans="2:14" x14ac:dyDescent="0.25">
      <c r="B41" t="s">
        <v>299</v>
      </c>
    </row>
    <row r="42" spans="2:14" x14ac:dyDescent="0.25">
      <c r="B42" t="s">
        <v>300</v>
      </c>
    </row>
    <row r="45" spans="2:14" x14ac:dyDescent="0.25">
      <c r="B45" t="s">
        <v>200</v>
      </c>
    </row>
    <row r="46" spans="2:14" x14ac:dyDescent="0.25">
      <c r="B46" s="84" t="s">
        <v>301</v>
      </c>
    </row>
  </sheetData>
  <mergeCells count="7">
    <mergeCell ref="L24:N24"/>
    <mergeCell ref="L7:N7"/>
    <mergeCell ref="C7:E7"/>
    <mergeCell ref="G7:I7"/>
    <mergeCell ref="G8:I8"/>
    <mergeCell ref="C10:E10"/>
    <mergeCell ref="C24:E24"/>
  </mergeCells>
  <hyperlinks>
    <hyperlink ref="B46" r:id="rId1" xr:uid="{B21EAAE7-C0A3-4C8E-BAA1-BEC4AF41C4CA}"/>
  </hyperlinks>
  <printOptions horizontalCentered="1"/>
  <pageMargins left="0.25" right="0.25" top="0.5" bottom="0.5" header="0.3" footer="0.3"/>
  <pageSetup scale="73" orientation="landscape" r:id="rId2"/>
  <headerFooter>
    <oddFooter>&amp;L&amp;8&amp;D&amp;C&amp;8&amp;P&amp;R&amp;8&amp;A</oddFooter>
  </headerFooter>
  <ignoredErrors>
    <ignoredError sqref="C9:E9 L9:M9 P9:Q9 I9" numberStoredAsText="1"/>
  </ignoredError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6145D-2882-4B16-B38B-39045051A5A2}">
  <sheetPr>
    <tabColor rgb="FFFFC000"/>
    <pageSetUpPr fitToPage="1"/>
  </sheetPr>
  <dimension ref="A1:G32"/>
  <sheetViews>
    <sheetView workbookViewId="0">
      <selection activeCell="D18" sqref="D18"/>
    </sheetView>
  </sheetViews>
  <sheetFormatPr defaultColWidth="8.85546875" defaultRowHeight="15" x14ac:dyDescent="0.25"/>
  <cols>
    <col min="1" max="1" width="34.42578125" style="2" customWidth="1"/>
    <col min="2" max="7" width="14" style="1" customWidth="1"/>
    <col min="8" max="19" width="14" style="2" customWidth="1"/>
    <col min="20" max="16384" width="8.85546875" style="2"/>
  </cols>
  <sheetData>
    <row r="1" spans="1:7" ht="25.9" customHeight="1" x14ac:dyDescent="0.3">
      <c r="A1" s="3"/>
    </row>
    <row r="2" spans="1:7" ht="25.9" customHeight="1" x14ac:dyDescent="0.3">
      <c r="A2" s="3"/>
    </row>
    <row r="3" spans="1:7" ht="18.75" customHeight="1" x14ac:dyDescent="0.3">
      <c r="A3" s="3" t="s">
        <v>302</v>
      </c>
      <c r="G3" s="6" t="str">
        <f>+'Attachment A - Base'!J3</f>
        <v>BPA #24-01R</v>
      </c>
    </row>
    <row r="4" spans="1:7" ht="20.100000000000001" customHeight="1" x14ac:dyDescent="0.25">
      <c r="A4" s="17">
        <f>+'Attachment A - Base'!A4</f>
        <v>45527</v>
      </c>
    </row>
    <row r="5" spans="1:7" x14ac:dyDescent="0.25">
      <c r="B5" s="166"/>
      <c r="C5" s="166"/>
      <c r="D5" s="166"/>
      <c r="E5" s="166"/>
      <c r="F5" s="166"/>
      <c r="G5" s="166"/>
    </row>
    <row r="6" spans="1:7" x14ac:dyDescent="0.25">
      <c r="B6" s="1">
        <v>-1</v>
      </c>
      <c r="C6" s="1">
        <v>-2</v>
      </c>
      <c r="D6" s="30"/>
      <c r="E6" s="1">
        <v>-3</v>
      </c>
      <c r="F6" s="1">
        <v>-4</v>
      </c>
      <c r="G6" s="19"/>
    </row>
    <row r="7" spans="1:7" ht="45.75" thickBot="1" x14ac:dyDescent="0.3">
      <c r="A7" s="4"/>
      <c r="B7" s="5" t="s">
        <v>42</v>
      </c>
      <c r="C7" s="5" t="s">
        <v>303</v>
      </c>
      <c r="D7" s="31" t="s">
        <v>304</v>
      </c>
      <c r="E7" s="5" t="s">
        <v>305</v>
      </c>
      <c r="F7" s="5" t="s">
        <v>212</v>
      </c>
      <c r="G7" s="20" t="s">
        <v>306</v>
      </c>
    </row>
    <row r="8" spans="1:7" ht="14.45" customHeight="1" x14ac:dyDescent="0.25">
      <c r="A8" s="14"/>
      <c r="B8" s="16"/>
      <c r="C8" s="16"/>
      <c r="D8" s="131"/>
      <c r="E8" s="16"/>
      <c r="F8" s="16"/>
      <c r="G8" s="21"/>
    </row>
    <row r="9" spans="1:7" ht="14.45" customHeight="1" x14ac:dyDescent="0.25">
      <c r="A9" s="130" t="s">
        <v>2</v>
      </c>
      <c r="B9" s="128"/>
      <c r="C9" s="128"/>
      <c r="D9" s="132"/>
      <c r="E9" s="128"/>
      <c r="F9" s="128"/>
      <c r="G9" s="129"/>
    </row>
    <row r="10" spans="1:7" ht="14.45" customHeight="1" x14ac:dyDescent="0.25">
      <c r="A10" s="2" t="s">
        <v>307</v>
      </c>
      <c r="B10" s="62">
        <v>38847000</v>
      </c>
      <c r="C10" s="62">
        <v>726000</v>
      </c>
      <c r="D10" s="133">
        <f>SUM(B10:C10)</f>
        <v>39573000</v>
      </c>
      <c r="E10" s="63">
        <v>-1434054</v>
      </c>
      <c r="F10" s="63"/>
      <c r="G10" s="22">
        <f>SUM(D10:F10)</f>
        <v>38138946</v>
      </c>
    </row>
    <row r="11" spans="1:7" ht="14.45" customHeight="1" x14ac:dyDescent="0.25">
      <c r="A11" s="2" t="s">
        <v>308</v>
      </c>
      <c r="B11" s="62">
        <v>832210</v>
      </c>
      <c r="C11" s="62"/>
      <c r="D11" s="133">
        <f t="shared" ref="D11:D15" si="0">SUM(B11:C11)</f>
        <v>832210</v>
      </c>
      <c r="E11" s="143">
        <v>78111</v>
      </c>
      <c r="F11" s="143"/>
      <c r="G11" s="22">
        <f t="shared" ref="G11:G15" si="1">SUM(D11:F11)</f>
        <v>910321</v>
      </c>
    </row>
    <row r="12" spans="1:7" ht="14.45" customHeight="1" x14ac:dyDescent="0.25">
      <c r="A12" s="2" t="s">
        <v>309</v>
      </c>
      <c r="B12" s="62">
        <v>30199</v>
      </c>
      <c r="C12" s="62"/>
      <c r="D12" s="133">
        <f t="shared" si="0"/>
        <v>30199</v>
      </c>
      <c r="E12" s="143">
        <v>165318</v>
      </c>
      <c r="F12" s="143"/>
      <c r="G12" s="22">
        <f t="shared" si="1"/>
        <v>195517</v>
      </c>
    </row>
    <row r="13" spans="1:7" ht="14.45" customHeight="1" x14ac:dyDescent="0.25">
      <c r="A13" s="2" t="s">
        <v>310</v>
      </c>
      <c r="B13" s="62">
        <v>0</v>
      </c>
      <c r="C13" s="62"/>
      <c r="D13" s="133">
        <f t="shared" si="0"/>
        <v>0</v>
      </c>
      <c r="E13" s="143">
        <f>379731-600000</f>
        <v>-220269</v>
      </c>
      <c r="F13" s="143">
        <v>220269</v>
      </c>
      <c r="G13" s="22">
        <f t="shared" si="1"/>
        <v>0</v>
      </c>
    </row>
    <row r="14" spans="1:7" ht="14.45" customHeight="1" x14ac:dyDescent="0.25">
      <c r="A14" s="2" t="s">
        <v>311</v>
      </c>
      <c r="B14" s="62">
        <v>0</v>
      </c>
      <c r="C14" s="62"/>
      <c r="D14" s="133">
        <f t="shared" si="0"/>
        <v>0</v>
      </c>
      <c r="E14" s="143">
        <f>-553031+600000</f>
        <v>46969</v>
      </c>
      <c r="F14" s="143"/>
      <c r="G14" s="22">
        <f t="shared" si="1"/>
        <v>46969</v>
      </c>
    </row>
    <row r="15" spans="1:7" ht="14.45" customHeight="1" x14ac:dyDescent="0.25">
      <c r="A15" s="2" t="s">
        <v>312</v>
      </c>
      <c r="B15" s="62">
        <v>0</v>
      </c>
      <c r="C15" s="62"/>
      <c r="D15" s="133">
        <f t="shared" si="0"/>
        <v>0</v>
      </c>
      <c r="E15" s="143">
        <v>3400</v>
      </c>
      <c r="F15" s="143"/>
      <c r="G15" s="22">
        <f t="shared" si="1"/>
        <v>3400</v>
      </c>
    </row>
    <row r="16" spans="1:7" ht="14.45" customHeight="1" x14ac:dyDescent="0.25">
      <c r="A16" s="9" t="s">
        <v>313</v>
      </c>
      <c r="B16" s="8">
        <f t="shared" ref="B16:G16" si="2">SUM(B10:B15)</f>
        <v>39709409</v>
      </c>
      <c r="C16" s="8">
        <f t="shared" si="2"/>
        <v>726000</v>
      </c>
      <c r="D16" s="117">
        <f t="shared" si="2"/>
        <v>40435409</v>
      </c>
      <c r="E16" s="8">
        <f t="shared" si="2"/>
        <v>-1360525</v>
      </c>
      <c r="F16" s="8">
        <f t="shared" si="2"/>
        <v>220269</v>
      </c>
      <c r="G16" s="23">
        <f t="shared" si="2"/>
        <v>39295153</v>
      </c>
    </row>
    <row r="17" spans="1:7" ht="14.45" customHeight="1" x14ac:dyDescent="0.25">
      <c r="B17" s="62"/>
      <c r="C17" s="62"/>
      <c r="D17" s="133"/>
      <c r="E17" s="63"/>
      <c r="F17" s="63"/>
      <c r="G17" s="22"/>
    </row>
    <row r="18" spans="1:7" ht="14.45" customHeight="1" x14ac:dyDescent="0.25">
      <c r="A18" s="72" t="s">
        <v>4</v>
      </c>
      <c r="B18" s="62"/>
      <c r="C18" s="62"/>
      <c r="D18" s="133"/>
      <c r="E18" s="63"/>
      <c r="F18" s="63"/>
      <c r="G18" s="22"/>
    </row>
    <row r="19" spans="1:7" ht="14.45" customHeight="1" x14ac:dyDescent="0.25">
      <c r="A19" s="2" t="s">
        <v>314</v>
      </c>
      <c r="B19" s="62">
        <v>90011</v>
      </c>
      <c r="C19" s="62"/>
      <c r="D19" s="133">
        <f t="shared" ref="D19:D21" si="3">SUM(B19:C19)</f>
        <v>90011</v>
      </c>
      <c r="E19" s="63">
        <v>15089</v>
      </c>
      <c r="F19" s="63"/>
      <c r="G19" s="22">
        <f t="shared" ref="G19:G21" si="4">SUM(D19:F19)</f>
        <v>105100</v>
      </c>
    </row>
    <row r="20" spans="1:7" ht="14.45" customHeight="1" x14ac:dyDescent="0.25">
      <c r="A20" s="2" t="s">
        <v>315</v>
      </c>
      <c r="B20" s="62">
        <v>302826</v>
      </c>
      <c r="C20" s="62"/>
      <c r="D20" s="133">
        <f t="shared" si="3"/>
        <v>302826</v>
      </c>
      <c r="E20" s="63">
        <v>0</v>
      </c>
      <c r="F20" s="63"/>
      <c r="G20" s="22">
        <f t="shared" si="4"/>
        <v>302826</v>
      </c>
    </row>
    <row r="21" spans="1:7" ht="14.45" customHeight="1" x14ac:dyDescent="0.25">
      <c r="A21" s="2" t="s">
        <v>316</v>
      </c>
      <c r="B21" s="62"/>
      <c r="C21" s="62"/>
      <c r="D21" s="133">
        <f t="shared" si="3"/>
        <v>0</v>
      </c>
      <c r="E21" s="63">
        <v>182101</v>
      </c>
      <c r="F21" s="63"/>
      <c r="G21" s="22">
        <f t="shared" si="4"/>
        <v>182101</v>
      </c>
    </row>
    <row r="22" spans="1:7" ht="14.45" customHeight="1" x14ac:dyDescent="0.25">
      <c r="A22" s="9" t="s">
        <v>317</v>
      </c>
      <c r="B22" s="8">
        <f>SUM(B19:B21)</f>
        <v>392837</v>
      </c>
      <c r="C22" s="8">
        <f t="shared" ref="C22" si="5">SUM(C19:C21)</f>
        <v>0</v>
      </c>
      <c r="D22" s="117">
        <f>SUM(D19:D21)</f>
        <v>392837</v>
      </c>
      <c r="E22" s="8">
        <f>SUM(E19:E21)</f>
        <v>197190</v>
      </c>
      <c r="F22" s="8">
        <f>SUM(F19:F21)</f>
        <v>0</v>
      </c>
      <c r="G22" s="23">
        <f>SUM(G19:G21)</f>
        <v>590027</v>
      </c>
    </row>
    <row r="23" spans="1:7" ht="14.45" customHeight="1" x14ac:dyDescent="0.25">
      <c r="B23" s="64"/>
      <c r="C23" s="64"/>
      <c r="D23" s="122"/>
      <c r="E23" s="64"/>
      <c r="F23" s="64"/>
      <c r="G23" s="22"/>
    </row>
    <row r="24" spans="1:7" ht="14.45" customHeight="1" x14ac:dyDescent="0.25">
      <c r="A24" s="72" t="s">
        <v>318</v>
      </c>
      <c r="B24" s="64"/>
      <c r="C24" s="64"/>
      <c r="D24" s="122"/>
      <c r="E24" s="64"/>
      <c r="F24" s="64"/>
      <c r="G24" s="22"/>
    </row>
    <row r="25" spans="1:7" ht="14.45" customHeight="1" x14ac:dyDescent="0.25">
      <c r="A25" s="2" t="s">
        <v>319</v>
      </c>
      <c r="B25" s="64"/>
      <c r="C25" s="64"/>
      <c r="D25" s="122"/>
      <c r="E25" s="64">
        <v>53000</v>
      </c>
      <c r="F25" s="64"/>
      <c r="G25" s="22">
        <f t="shared" ref="G25" si="6">SUM(D25:F25)</f>
        <v>53000</v>
      </c>
    </row>
    <row r="26" spans="1:7" ht="14.45" customHeight="1" x14ac:dyDescent="0.25">
      <c r="A26" s="9" t="s">
        <v>317</v>
      </c>
      <c r="B26" s="146">
        <f t="shared" ref="B26:G26" si="7">SUM(B25)</f>
        <v>0</v>
      </c>
      <c r="C26" s="146">
        <f t="shared" si="7"/>
        <v>0</v>
      </c>
      <c r="D26" s="117">
        <f t="shared" si="7"/>
        <v>0</v>
      </c>
      <c r="E26" s="146">
        <f t="shared" si="7"/>
        <v>53000</v>
      </c>
      <c r="F26" s="146">
        <f t="shared" si="7"/>
        <v>0</v>
      </c>
      <c r="G26" s="23">
        <f t="shared" si="7"/>
        <v>53000</v>
      </c>
    </row>
    <row r="27" spans="1:7" ht="14.45" customHeight="1" x14ac:dyDescent="0.25">
      <c r="B27" s="64"/>
      <c r="C27" s="64"/>
      <c r="D27" s="122"/>
      <c r="E27" s="64"/>
      <c r="F27" s="64"/>
      <c r="G27" s="22"/>
    </row>
    <row r="28" spans="1:7" ht="14.45" customHeight="1" thickBot="1" x14ac:dyDescent="0.3">
      <c r="A28" s="10" t="s">
        <v>29</v>
      </c>
      <c r="B28" s="11">
        <f t="shared" ref="B28:G28" si="8">+B16+B22+B26</f>
        <v>40102246</v>
      </c>
      <c r="C28" s="11">
        <f t="shared" si="8"/>
        <v>726000</v>
      </c>
      <c r="D28" s="118">
        <f t="shared" si="8"/>
        <v>40828246</v>
      </c>
      <c r="E28" s="11">
        <f t="shared" si="8"/>
        <v>-1110335</v>
      </c>
      <c r="F28" s="11">
        <f t="shared" si="8"/>
        <v>220269</v>
      </c>
      <c r="G28" s="24">
        <f t="shared" si="8"/>
        <v>39938180</v>
      </c>
    </row>
    <row r="29" spans="1:7" x14ac:dyDescent="0.25">
      <c r="A29" s="2" t="s">
        <v>320</v>
      </c>
    </row>
    <row r="30" spans="1:7" x14ac:dyDescent="0.25">
      <c r="A30" s="2" t="s">
        <v>321</v>
      </c>
    </row>
    <row r="31" spans="1:7" x14ac:dyDescent="0.25">
      <c r="A31" s="2" t="s">
        <v>322</v>
      </c>
    </row>
    <row r="32" spans="1:7" x14ac:dyDescent="0.25">
      <c r="A32" s="2" t="s">
        <v>323</v>
      </c>
    </row>
  </sheetData>
  <mergeCells count="1">
    <mergeCell ref="B5:G5"/>
  </mergeCells>
  <printOptions horizontalCentered="1"/>
  <pageMargins left="0.5" right="0.5" top="0.5" bottom="0.5" header="0.3" footer="0.3"/>
  <pageSetup fitToHeight="0" orientation="landscape" r:id="rId1"/>
  <headerFooter>
    <oddFooter>&amp;L&amp;8&amp;D&amp;C&amp;8&amp;P&amp;R&amp;8&amp;A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B496F-ED40-4AAC-A9AF-075688319194}">
  <sheetPr>
    <tabColor rgb="FFFFC000"/>
    <pageSetUpPr fitToPage="1"/>
  </sheetPr>
  <dimension ref="A1:D21"/>
  <sheetViews>
    <sheetView workbookViewId="0">
      <selection activeCell="D18" sqref="D18"/>
    </sheetView>
  </sheetViews>
  <sheetFormatPr defaultColWidth="8.85546875" defaultRowHeight="15" x14ac:dyDescent="0.25"/>
  <cols>
    <col min="1" max="1" width="26.28515625" style="2" customWidth="1"/>
    <col min="2" max="2" width="14" style="1" bestFit="1" customWidth="1"/>
    <col min="3" max="3" width="14.5703125" style="1" customWidth="1"/>
    <col min="4" max="4" width="15" style="1" customWidth="1"/>
    <col min="5" max="16" width="14" style="2" customWidth="1"/>
    <col min="17" max="16384" width="8.85546875" style="2"/>
  </cols>
  <sheetData>
    <row r="1" spans="1:4" ht="25.9" customHeight="1" x14ac:dyDescent="0.4">
      <c r="A1" s="3"/>
      <c r="D1" s="26"/>
    </row>
    <row r="2" spans="1:4" ht="25.9" customHeight="1" x14ac:dyDescent="0.3">
      <c r="A2" s="3"/>
    </row>
    <row r="3" spans="1:4" ht="18.75" customHeight="1" x14ac:dyDescent="0.3">
      <c r="A3" s="3" t="s">
        <v>324</v>
      </c>
      <c r="D3" s="6" t="str">
        <f>+'Attachment A - Base'!J3</f>
        <v>BPA #24-01R</v>
      </c>
    </row>
    <row r="4" spans="1:4" ht="20.100000000000001" customHeight="1" x14ac:dyDescent="0.25">
      <c r="A4" s="17">
        <f>+'Attachment A - Base'!A4</f>
        <v>45527</v>
      </c>
    </row>
    <row r="5" spans="1:4" x14ac:dyDescent="0.25">
      <c r="B5" s="166"/>
      <c r="C5" s="166"/>
      <c r="D5" s="166"/>
    </row>
    <row r="6" spans="1:4" x14ac:dyDescent="0.25">
      <c r="B6" s="1">
        <v>-1</v>
      </c>
      <c r="C6" s="1">
        <v>-2</v>
      </c>
      <c r="D6" s="19"/>
    </row>
    <row r="7" spans="1:4" ht="45.75" thickBot="1" x14ac:dyDescent="0.3">
      <c r="A7" s="4"/>
      <c r="B7" s="5" t="s">
        <v>325</v>
      </c>
      <c r="C7" s="5" t="s">
        <v>326</v>
      </c>
      <c r="D7" s="20" t="s">
        <v>327</v>
      </c>
    </row>
    <row r="8" spans="1:4" ht="19.149999999999999" customHeight="1" x14ac:dyDescent="0.25">
      <c r="A8" s="14"/>
      <c r="B8" s="16"/>
      <c r="C8" s="15"/>
      <c r="D8" s="21"/>
    </row>
    <row r="9" spans="1:4" ht="19.149999999999999" customHeight="1" x14ac:dyDescent="0.25">
      <c r="A9" s="2" t="s">
        <v>20</v>
      </c>
      <c r="B9" s="7"/>
      <c r="C9" s="7"/>
      <c r="D9" s="22">
        <f>SUM(B9:C9)</f>
        <v>0</v>
      </c>
    </row>
    <row r="10" spans="1:4" ht="19.149999999999999" customHeight="1" x14ac:dyDescent="0.25">
      <c r="A10" s="2" t="s">
        <v>21</v>
      </c>
      <c r="B10" s="7">
        <v>1375000</v>
      </c>
      <c r="C10" s="7">
        <v>138000</v>
      </c>
      <c r="D10" s="22">
        <f t="shared" ref="D10:D14" si="0">SUM(B10:C10)</f>
        <v>1513000</v>
      </c>
    </row>
    <row r="11" spans="1:4" ht="19.149999999999999" customHeight="1" x14ac:dyDescent="0.25">
      <c r="A11" s="2" t="s">
        <v>22</v>
      </c>
      <c r="B11" s="7"/>
      <c r="C11" s="7"/>
      <c r="D11" s="22">
        <f t="shared" si="0"/>
        <v>0</v>
      </c>
    </row>
    <row r="12" spans="1:4" ht="19.149999999999999" customHeight="1" x14ac:dyDescent="0.25">
      <c r="A12" s="2" t="s">
        <v>23</v>
      </c>
      <c r="B12" s="7">
        <v>902000</v>
      </c>
      <c r="C12" s="7"/>
      <c r="D12" s="22">
        <f t="shared" ref="D12" si="1">SUM(B12:C12)</f>
        <v>902000</v>
      </c>
    </row>
    <row r="13" spans="1:4" ht="19.149999999999999" customHeight="1" x14ac:dyDescent="0.25">
      <c r="A13" s="2" t="s">
        <v>24</v>
      </c>
      <c r="B13" s="7"/>
      <c r="C13" s="7"/>
      <c r="D13" s="22">
        <f t="shared" si="0"/>
        <v>0</v>
      </c>
    </row>
    <row r="14" spans="1:4" ht="19.149999999999999" customHeight="1" x14ac:dyDescent="0.25">
      <c r="A14" s="2" t="s">
        <v>25</v>
      </c>
      <c r="B14" s="7"/>
      <c r="C14" s="7"/>
      <c r="D14" s="22">
        <f t="shared" si="0"/>
        <v>0</v>
      </c>
    </row>
    <row r="15" spans="1:4" ht="19.149999999999999" customHeight="1" x14ac:dyDescent="0.25">
      <c r="A15" s="9" t="s">
        <v>26</v>
      </c>
      <c r="B15" s="8">
        <f t="shared" ref="B15:D15" si="2">SUM(B9:B14)</f>
        <v>2277000</v>
      </c>
      <c r="C15" s="8">
        <f t="shared" si="2"/>
        <v>138000</v>
      </c>
      <c r="D15" s="23">
        <f t="shared" si="2"/>
        <v>2415000</v>
      </c>
    </row>
    <row r="16" spans="1:4" ht="19.149999999999999" customHeight="1" x14ac:dyDescent="0.25">
      <c r="B16" s="18"/>
      <c r="C16" s="7"/>
      <c r="D16" s="22"/>
    </row>
    <row r="17" spans="1:4" ht="19.149999999999999" customHeight="1" x14ac:dyDescent="0.25">
      <c r="A17" s="2" t="s">
        <v>28</v>
      </c>
      <c r="B17" s="7"/>
      <c r="C17" s="7"/>
      <c r="D17" s="22">
        <f>SUM(B17:C17)</f>
        <v>0</v>
      </c>
    </row>
    <row r="18" spans="1:4" ht="15" customHeight="1" thickBot="1" x14ac:dyDescent="0.3">
      <c r="A18" s="10" t="s">
        <v>29</v>
      </c>
      <c r="B18" s="11">
        <f t="shared" ref="B18:D18" si="3">SUM(B15:B17)</f>
        <v>2277000</v>
      </c>
      <c r="C18" s="11">
        <f t="shared" si="3"/>
        <v>138000</v>
      </c>
      <c r="D18" s="24">
        <f t="shared" si="3"/>
        <v>2415000</v>
      </c>
    </row>
    <row r="19" spans="1:4" ht="15" customHeight="1" x14ac:dyDescent="0.25">
      <c r="A19" s="12"/>
      <c r="B19" s="12"/>
      <c r="C19" s="13"/>
      <c r="D19" s="13"/>
    </row>
    <row r="20" spans="1:4" x14ac:dyDescent="0.25">
      <c r="A20" s="2" t="s">
        <v>328</v>
      </c>
    </row>
    <row r="21" spans="1:4" x14ac:dyDescent="0.25">
      <c r="A21" s="134" t="s">
        <v>329</v>
      </c>
    </row>
  </sheetData>
  <mergeCells count="1">
    <mergeCell ref="B5:D5"/>
  </mergeCells>
  <pageMargins left="0.75" right="0.75" top="0.5" bottom="0.5" header="0.3" footer="0.3"/>
  <pageSetup orientation="landscape" r:id="rId1"/>
  <headerFooter>
    <oddFooter>&amp;L&amp;8&amp;D&amp;C&amp;8&amp;P&amp;R&amp;8&amp;A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be2326-318d-4a6a-b4f2-fe4330988081" xsi:nil="true"/>
    <lcf76f155ced4ddcb4097134ff3c332f xmlns="e15b9e73-c977-4054-98ab-a31a3fb0ba9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24FE98A5794489482F1EED8BB33FE" ma:contentTypeVersion="17" ma:contentTypeDescription="Create a new document." ma:contentTypeScope="" ma:versionID="b2900fe496e0c8b28ddd4c4631f93ca9">
  <xsd:schema xmlns:xsd="http://www.w3.org/2001/XMLSchema" xmlns:xs="http://www.w3.org/2001/XMLSchema" xmlns:p="http://schemas.microsoft.com/office/2006/metadata/properties" xmlns:ns2="e15b9e73-c977-4054-98ab-a31a3fb0ba9e" xmlns:ns3="8bbe2326-318d-4a6a-b4f2-fe4330988081" targetNamespace="http://schemas.microsoft.com/office/2006/metadata/properties" ma:root="true" ma:fieldsID="63df6292bc22d007172f50ec8b6bb721" ns2:_="" ns3:_="">
    <xsd:import namespace="e15b9e73-c977-4054-98ab-a31a3fb0ba9e"/>
    <xsd:import namespace="8bbe2326-318d-4a6a-b4f2-fe43309880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b9e73-c977-4054-98ab-a31a3fb0ba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ea4fd07-bb52-4003-87b7-be48705374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be2326-318d-4a6a-b4f2-fe433098808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74eed02-18ea-4b50-ab8c-d324e9bdf24e}" ma:internalName="TaxCatchAll" ma:showField="CatchAllData" ma:web="8bbe2326-318d-4a6a-b4f2-fe43309880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F49517-401C-42BA-9031-46B044F7B53F}">
  <ds:schemaRefs>
    <ds:schemaRef ds:uri="http://schemas.microsoft.com/office/2006/metadata/properties"/>
    <ds:schemaRef ds:uri="http://schemas.microsoft.com/office/infopath/2007/PartnerControls"/>
    <ds:schemaRef ds:uri="8bbe2326-318d-4a6a-b4f2-fe4330988081"/>
    <ds:schemaRef ds:uri="e15b9e73-c977-4054-98ab-a31a3fb0ba9e"/>
  </ds:schemaRefs>
</ds:datastoreItem>
</file>

<file path=customXml/itemProps2.xml><?xml version="1.0" encoding="utf-8"?>
<ds:datastoreItem xmlns:ds="http://schemas.openxmlformats.org/officeDocument/2006/customXml" ds:itemID="{77869687-58FF-41F3-A882-1378BB9AA6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14411F-DFC0-4488-8444-FDF386157F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5b9e73-c977-4054-98ab-a31a3fb0ba9e"/>
    <ds:schemaRef ds:uri="8bbe2326-318d-4a6a-b4f2-fe43309880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20</vt:i4>
      </vt:variant>
    </vt:vector>
  </HeadingPairs>
  <TitlesOfParts>
    <vt:vector size="34" baseType="lpstr">
      <vt:lpstr>Attachment A - Base</vt:lpstr>
      <vt:lpstr>Attachment B - Desig Base</vt:lpstr>
      <vt:lpstr>Attachment C - Fees Base</vt:lpstr>
      <vt:lpstr>Attachment D - One-Time</vt:lpstr>
      <vt:lpstr>Attachment E - Desig One-Time</vt:lpstr>
      <vt:lpstr>Attachment F - Fees One-Time</vt:lpstr>
      <vt:lpstr>Attachment G - Compensation</vt:lpstr>
      <vt:lpstr>Attachment H - Financial Aid</vt:lpstr>
      <vt:lpstr>Attachment I - Lottery Base</vt:lpstr>
      <vt:lpstr>Attachment J - Lottery CFWD</vt:lpstr>
      <vt:lpstr>Attachment K - PCR</vt:lpstr>
      <vt:lpstr>Attachment L - PCR CFWD</vt:lpstr>
      <vt:lpstr>OFFICE USE ONLY</vt:lpstr>
      <vt:lpstr>Attachment F - Financial Aid</vt:lpstr>
      <vt:lpstr>'Attachment A - Base'!Print_Area</vt:lpstr>
      <vt:lpstr>'Attachment B - Desig Base'!Print_Area</vt:lpstr>
      <vt:lpstr>'Attachment C - Fees Base'!Print_Area</vt:lpstr>
      <vt:lpstr>'Attachment D - One-Time'!Print_Area</vt:lpstr>
      <vt:lpstr>'Attachment E - Desig One-Time'!Print_Area</vt:lpstr>
      <vt:lpstr>'Attachment F - Fees One-Time'!Print_Area</vt:lpstr>
      <vt:lpstr>'Attachment F - Financial Aid'!Print_Area</vt:lpstr>
      <vt:lpstr>'Attachment G - Compensation'!Print_Area</vt:lpstr>
      <vt:lpstr>'Attachment H - Financial Aid'!Print_Area</vt:lpstr>
      <vt:lpstr>'Attachment I - Lottery Base'!Print_Area</vt:lpstr>
      <vt:lpstr>'Attachment J - Lottery CFWD'!Print_Area</vt:lpstr>
      <vt:lpstr>'Attachment K - PCR'!Print_Area</vt:lpstr>
      <vt:lpstr>'Attachment L - PCR CFWD'!Print_Area</vt:lpstr>
      <vt:lpstr>'Attachment B - Desig Base'!Print_Titles</vt:lpstr>
      <vt:lpstr>'Attachment C - Fees Base'!Print_Titles</vt:lpstr>
      <vt:lpstr>'Attachment E - Desig One-Time'!Print_Titles</vt:lpstr>
      <vt:lpstr>'Attachment F - Fees One-Time'!Print_Titles</vt:lpstr>
      <vt:lpstr>'Attachment H - Financial Aid'!Print_Titles</vt:lpstr>
      <vt:lpstr>'Attachment K - PCR'!Print_Titles</vt:lpstr>
      <vt:lpstr>'Attachment L - PCR CFWD'!Print_Titles</vt:lpstr>
    </vt:vector>
  </TitlesOfParts>
  <Manager/>
  <Company>Cal Poly Pomona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 Lee</dc:creator>
  <cp:keywords/>
  <dc:description/>
  <cp:lastModifiedBy>Sebastian Velasquez</cp:lastModifiedBy>
  <cp:revision/>
  <dcterms:created xsi:type="dcterms:W3CDTF">2023-04-10T21:39:14Z</dcterms:created>
  <dcterms:modified xsi:type="dcterms:W3CDTF">2025-11-20T19:37:15Z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0x010100FEF24FE98A5794489482F1EED8BB33FE</vt:lpwstr>
  </property>
  <property fmtid="{D5CDD505-2E9C-101B-9397-08002B2CF9AE}" pid="3" name="MediaServiceImageTags">
    <vt:lpwstr/>
  </property>
</Properties>
</file>