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ivotTables/pivotTable1.xml" ContentType="application/vnd.openxmlformats-officedocument.spreadsheetml.pivot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pivotTables/pivotTable2.xml" ContentType="application/vnd.openxmlformats-officedocument.spreadsheetml.pivotTab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fsaa.ad.cpp.edu\departments\budget\Sebastian\Accessible Documents\FY2025-26\"/>
    </mc:Choice>
  </mc:AlternateContent>
  <xr:revisionPtr revIDLastSave="0" documentId="14_{63D0D5EA-A59F-4003-ABBD-179CBC197B3B}" xr6:coauthVersionLast="47" xr6:coauthVersionMax="47" xr10:uidLastSave="{00000000-0000-0000-0000-000000000000}"/>
  <bookViews>
    <workbookView xWindow="-28920" yWindow="-120" windowWidth="29040" windowHeight="15720" firstSheet="8" activeTab="11" xr2:uid="{D09C3570-B771-4089-ACEA-114815D1B957}"/>
  </bookViews>
  <sheets>
    <sheet name="Attachment A - Base" sheetId="14" r:id="rId1"/>
    <sheet name="Attachment B - Desig Base" sheetId="16" r:id="rId2"/>
    <sheet name="Attachment C - Fees Base" sheetId="17" r:id="rId3"/>
    <sheet name="Attachment D - One-Time" sheetId="18" r:id="rId4"/>
    <sheet name="Attachment E - Desig One-Time" sheetId="24" r:id="rId5"/>
    <sheet name="Attachment F - Fees One-Time" sheetId="21" r:id="rId6"/>
    <sheet name="Attachment G - Severance Pay" sheetId="25" r:id="rId7"/>
    <sheet name="Attachment H - Financial Aid" sheetId="26" r:id="rId8"/>
    <sheet name="Attachment I - Lottery Base" sheetId="22" r:id="rId9"/>
    <sheet name="Attachment J - Lottery CFWD" sheetId="23" r:id="rId10"/>
    <sheet name="Attachment K - PCR" sheetId="29" r:id="rId11"/>
    <sheet name="Attachment L - PCR CFWD" sheetId="27" r:id="rId12"/>
    <sheet name="OFFICE USE ONLY" sheetId="19" r:id="rId13"/>
    <sheet name="Attachment F - Financial Aid" sheetId="6" state="hidden" r:id="rId14"/>
  </sheets>
  <definedNames>
    <definedName name="LineDesc">#REF!</definedName>
    <definedName name="_xlnm.Print_Area" localSheetId="0">'Attachment A - Base'!$A$1:$J$26</definedName>
    <definedName name="_xlnm.Print_Area" localSheetId="1">'Attachment B - Desig Base'!$A$1:$F$35</definedName>
    <definedName name="_xlnm.Print_Area" localSheetId="2">'Attachment C - Fees Base'!$A$1:$I$154</definedName>
    <definedName name="_xlnm.Print_Area" localSheetId="3">'Attachment D - One-Time'!$A$1:$M$40</definedName>
    <definedName name="_xlnm.Print_Area" localSheetId="4">'Attachment E - Desig One-Time'!$A$1:$K$75</definedName>
    <definedName name="_xlnm.Print_Area" localSheetId="5">'Attachment F - Fees One-Time'!$A$1:$J$131</definedName>
    <definedName name="_xlnm.Print_Area" localSheetId="13">'Attachment F - Financial Aid'!$A$1:$E$19</definedName>
    <definedName name="_xlnm.Print_Area" localSheetId="6">'Attachment G - Severance Pay'!$A$1:$J$128</definedName>
    <definedName name="_xlnm.Print_Area" localSheetId="7">'Attachment H - Financial Aid'!$A$1:$H$34</definedName>
    <definedName name="_xlnm.Print_Area" localSheetId="8">'Attachment I - Lottery Base'!$A$1:$F$26</definedName>
    <definedName name="_xlnm.Print_Area" localSheetId="9">'Attachment J - Lottery CFWD'!$A$1:$E$22</definedName>
    <definedName name="_xlnm.Print_Area" localSheetId="10">'Attachment K - PCR'!$A$1:$K$221</definedName>
    <definedName name="_xlnm.Print_Area" localSheetId="11">'Attachment L - PCR CFWD'!$A$1:$J$34</definedName>
    <definedName name="_xlnm.Print_Titles" localSheetId="1">'Attachment B - Desig Base'!$1:$4</definedName>
    <definedName name="_xlnm.Print_Titles" localSheetId="2">'Attachment C - Fees Base'!$1:$4</definedName>
    <definedName name="_xlnm.Print_Titles" localSheetId="4">'Attachment E - Desig One-Time'!$1:$4</definedName>
    <definedName name="_xlnm.Print_Titles" localSheetId="5">'Attachment F - Fees One-Time'!$1:$4</definedName>
    <definedName name="_xlnm.Print_Titles" localSheetId="6">'Attachment G - Severance Pay'!$1:$6</definedName>
    <definedName name="_xlnm.Print_Titles" localSheetId="7">'Attachment H - Financial Aid'!$1:$4</definedName>
    <definedName name="_xlnm.Print_Titles" localSheetId="10">'Attachment K - PCR'!$1:$4</definedName>
    <definedName name="_xlnm.Print_Titles" localSheetId="11">'Attachment L - PCR CFWD'!$1:$4</definedName>
    <definedName name="Scenario">#REF!</definedName>
  </definedNames>
  <calcPr calcId="191028"/>
  <pivotCaches>
    <pivotCache cacheId="0" r:id="rId15"/>
    <pivotCache cacheId="1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8" l="1"/>
  <c r="D18" i="18"/>
  <c r="F11" i="18"/>
  <c r="D11" i="18"/>
  <c r="D16" i="18" s="1"/>
  <c r="D19" i="18" s="1"/>
  <c r="E17" i="18"/>
  <c r="H17" i="18" s="1"/>
  <c r="E15" i="18"/>
  <c r="H15" i="18" s="1"/>
  <c r="E14" i="18"/>
  <c r="H14" i="18" s="1"/>
  <c r="E13" i="18"/>
  <c r="H13" i="18" s="1"/>
  <c r="E12" i="18"/>
  <c r="H12" i="18" s="1"/>
  <c r="E10" i="18"/>
  <c r="H10" i="18" s="1"/>
  <c r="G16" i="18"/>
  <c r="G19" i="18" s="1"/>
  <c r="F25" i="16" l="1"/>
  <c r="F28" i="16"/>
  <c r="C18" i="14"/>
  <c r="D29" i="17"/>
  <c r="D25" i="17"/>
  <c r="C16" i="17"/>
  <c r="C10" i="17"/>
  <c r="B16" i="17"/>
  <c r="B10" i="17"/>
  <c r="C29" i="17"/>
  <c r="C25" i="17"/>
  <c r="E220" i="29" l="1"/>
  <c r="I15" i="29"/>
  <c r="H17" i="29"/>
  <c r="H14" i="29"/>
  <c r="H13" i="29"/>
  <c r="H12" i="29"/>
  <c r="H11" i="29"/>
  <c r="H10" i="29"/>
  <c r="H9" i="29"/>
  <c r="H15" i="29" s="1"/>
  <c r="H18" i="29" s="1"/>
  <c r="G17" i="29"/>
  <c r="G14" i="29"/>
  <c r="G13" i="29"/>
  <c r="G12" i="29"/>
  <c r="G11" i="29"/>
  <c r="G15" i="29" s="1"/>
  <c r="G18" i="29" s="1"/>
  <c r="G10" i="29"/>
  <c r="G9" i="29"/>
  <c r="F17" i="29"/>
  <c r="F14" i="29"/>
  <c r="F13" i="29"/>
  <c r="F12" i="29"/>
  <c r="F11" i="29"/>
  <c r="F10" i="29"/>
  <c r="F9" i="29"/>
  <c r="F15" i="29" s="1"/>
  <c r="F18" i="29" s="1"/>
  <c r="E17" i="29"/>
  <c r="E14" i="29"/>
  <c r="E13" i="29"/>
  <c r="E12" i="29"/>
  <c r="E11" i="29"/>
  <c r="E15" i="29" s="1"/>
  <c r="E18" i="29" s="1"/>
  <c r="E10" i="29"/>
  <c r="E9" i="29"/>
  <c r="D17" i="29"/>
  <c r="D15" i="29"/>
  <c r="D18" i="29" s="1"/>
  <c r="D14" i="29"/>
  <c r="D13" i="29"/>
  <c r="D12" i="29"/>
  <c r="D11" i="29"/>
  <c r="D10" i="29"/>
  <c r="D9" i="29"/>
  <c r="C17" i="29"/>
  <c r="C14" i="29"/>
  <c r="C13" i="29"/>
  <c r="C12" i="29"/>
  <c r="C11" i="29"/>
  <c r="C15" i="29" s="1"/>
  <c r="C18" i="29" s="1"/>
  <c r="C10" i="29"/>
  <c r="C9" i="29"/>
  <c r="B17" i="29"/>
  <c r="B14" i="29"/>
  <c r="B13" i="29"/>
  <c r="B12" i="29"/>
  <c r="B11" i="29"/>
  <c r="B10" i="29"/>
  <c r="B9" i="29"/>
  <c r="E128" i="25" l="1"/>
  <c r="I21" i="25"/>
  <c r="H18" i="25"/>
  <c r="H21" i="25" s="1"/>
  <c r="G18" i="25"/>
  <c r="G21" i="25" s="1"/>
  <c r="F18" i="25"/>
  <c r="F21" i="25" s="1"/>
  <c r="J20" i="25"/>
  <c r="J19" i="25"/>
  <c r="I18" i="25"/>
  <c r="J17" i="25"/>
  <c r="D18" i="25"/>
  <c r="D21" i="25" s="1"/>
  <c r="E18" i="25"/>
  <c r="E21" i="25" s="1"/>
  <c r="J14" i="25"/>
  <c r="J13" i="25"/>
  <c r="J12" i="25"/>
  <c r="C18" i="25" l="1"/>
  <c r="C21" i="25" s="1"/>
  <c r="J15" i="25"/>
  <c r="J16" i="25"/>
  <c r="B18" i="25"/>
  <c r="B21" i="25" s="1"/>
  <c r="J18" i="25" l="1"/>
  <c r="J21" i="25" s="1"/>
  <c r="E32" i="27" l="1"/>
  <c r="E27" i="27"/>
  <c r="J17" i="27" l="1"/>
  <c r="D17" i="23"/>
  <c r="C11" i="18" l="1"/>
  <c r="E11" i="18" s="1"/>
  <c r="C18" i="18" l="1"/>
  <c r="J12" i="18"/>
  <c r="J16" i="18" s="1"/>
  <c r="J19" i="18" s="1"/>
  <c r="D131" i="21" l="1"/>
  <c r="D127" i="21"/>
  <c r="D124" i="21"/>
  <c r="D121" i="21"/>
  <c r="D102" i="21"/>
  <c r="C102" i="21"/>
  <c r="G10" i="21" s="1"/>
  <c r="D41" i="21"/>
  <c r="C41" i="21"/>
  <c r="F13" i="21" s="1"/>
  <c r="D36" i="21"/>
  <c r="B35" i="21"/>
  <c r="C36" i="21" s="1"/>
  <c r="E13" i="21" s="1"/>
  <c r="C10" i="21"/>
  <c r="B10" i="21"/>
  <c r="D13" i="21"/>
  <c r="D12" i="21"/>
  <c r="D10" i="21"/>
  <c r="D32" i="21"/>
  <c r="D26" i="21"/>
  <c r="C32" i="21"/>
  <c r="C26" i="21"/>
  <c r="I17" i="21" l="1"/>
  <c r="C131" i="21"/>
  <c r="H14" i="21" s="1"/>
  <c r="G9" i="24" l="1"/>
  <c r="B18" i="18" l="1"/>
  <c r="E18" i="18" s="1"/>
  <c r="H18" i="18" s="1"/>
  <c r="B44" i="17" l="1"/>
  <c r="B43" i="17"/>
  <c r="B42" i="17"/>
  <c r="B39" i="17"/>
  <c r="B38" i="17"/>
  <c r="B37" i="17"/>
  <c r="B34" i="17"/>
  <c r="B33" i="17"/>
  <c r="B32" i="17"/>
  <c r="D45" i="17"/>
  <c r="D40" i="17"/>
  <c r="D35" i="17"/>
  <c r="H17" i="17" l="1"/>
  <c r="B152" i="17" l="1"/>
  <c r="B131" i="17"/>
  <c r="B80" i="17"/>
  <c r="B75" i="17"/>
  <c r="B73" i="17"/>
  <c r="B71" i="17"/>
  <c r="B59" i="17"/>
  <c r="H11" i="18" l="1"/>
  <c r="G14" i="24"/>
  <c r="H14" i="24" s="1"/>
  <c r="I15" i="18" s="1"/>
  <c r="K15" i="18" s="1"/>
  <c r="G13" i="24"/>
  <c r="G12" i="24"/>
  <c r="H12" i="24" s="1"/>
  <c r="I13" i="18" s="1"/>
  <c r="K13" i="18" s="1"/>
  <c r="G11" i="24"/>
  <c r="G10" i="24"/>
  <c r="H16" i="24"/>
  <c r="I17" i="18" s="1"/>
  <c r="K17" i="18" s="1"/>
  <c r="D10" i="24"/>
  <c r="D15" i="24" s="1"/>
  <c r="D18" i="24" s="1"/>
  <c r="F13" i="24"/>
  <c r="F11" i="24"/>
  <c r="E13" i="24"/>
  <c r="E11" i="24"/>
  <c r="E10" i="24"/>
  <c r="E9" i="24"/>
  <c r="C13" i="24"/>
  <c r="C11" i="24"/>
  <c r="C10" i="24"/>
  <c r="B10" i="24"/>
  <c r="G72" i="24"/>
  <c r="F72" i="24"/>
  <c r="E72" i="24"/>
  <c r="D72" i="24"/>
  <c r="C72" i="24"/>
  <c r="B72" i="24"/>
  <c r="I68" i="24"/>
  <c r="I67" i="24"/>
  <c r="I69" i="24"/>
  <c r="I38" i="24"/>
  <c r="I37" i="24"/>
  <c r="I36" i="24"/>
  <c r="H9" i="24" l="1"/>
  <c r="I10" i="18" s="1"/>
  <c r="K10" i="18" s="1"/>
  <c r="H10" i="24"/>
  <c r="I11" i="18" s="1"/>
  <c r="K11" i="18" s="1"/>
  <c r="H13" i="24"/>
  <c r="I14" i="18" s="1"/>
  <c r="K14" i="18" s="1"/>
  <c r="H11" i="24"/>
  <c r="I12" i="18" s="1"/>
  <c r="K12" i="18" s="1"/>
  <c r="B13" i="16" l="1"/>
  <c r="D20" i="26" l="1"/>
  <c r="D19" i="26"/>
  <c r="D10" i="26"/>
  <c r="A4" i="17" l="1"/>
  <c r="B15" i="17"/>
  <c r="E13" i="17"/>
  <c r="E15" i="17" s="1"/>
  <c r="E18" i="17" s="1"/>
  <c r="B149" i="17"/>
  <c r="B139" i="17"/>
  <c r="C123" i="17"/>
  <c r="G10" i="17" s="1"/>
  <c r="G15" i="17" s="1"/>
  <c r="G18" i="17" s="1"/>
  <c r="D53" i="17"/>
  <c r="D52" i="17"/>
  <c r="B52" i="17" s="1"/>
  <c r="C15" i="17" l="1"/>
  <c r="C18" i="17" s="1"/>
  <c r="B18" i="17"/>
  <c r="D54" i="17"/>
  <c r="B53" i="17"/>
  <c r="H25" i="26" l="1"/>
  <c r="G26" i="26"/>
  <c r="G22" i="26"/>
  <c r="G16" i="26"/>
  <c r="G28" i="26" s="1"/>
  <c r="H15" i="27"/>
  <c r="H18" i="27" s="1"/>
  <c r="C49" i="17" l="1"/>
  <c r="F26" i="26"/>
  <c r="E26" i="26"/>
  <c r="D26" i="26"/>
  <c r="C26" i="26"/>
  <c r="H26" i="26"/>
  <c r="E21" i="26" l="1"/>
  <c r="H21" i="26" s="1"/>
  <c r="E20" i="26"/>
  <c r="H20" i="26" s="1"/>
  <c r="E19" i="26"/>
  <c r="H19" i="26" s="1"/>
  <c r="E15" i="26"/>
  <c r="H15" i="26" s="1"/>
  <c r="E14" i="26"/>
  <c r="E13" i="26"/>
  <c r="E12" i="26"/>
  <c r="H12" i="26" s="1"/>
  <c r="E11" i="26"/>
  <c r="H11" i="26" s="1"/>
  <c r="E10" i="26"/>
  <c r="H10" i="26" s="1"/>
  <c r="H14" i="26" l="1"/>
  <c r="H13" i="26"/>
  <c r="I18" i="29"/>
  <c r="K17" i="29"/>
  <c r="K16" i="29"/>
  <c r="J15" i="29"/>
  <c r="J18" i="29" s="1"/>
  <c r="B15" i="29"/>
  <c r="B18" i="29" s="1"/>
  <c r="K14" i="29"/>
  <c r="K13" i="29"/>
  <c r="K12" i="29"/>
  <c r="K11" i="29"/>
  <c r="K10" i="29"/>
  <c r="K9" i="29"/>
  <c r="A4" i="29"/>
  <c r="K3" i="29"/>
  <c r="K15" i="29" l="1"/>
  <c r="K18" i="29" s="1"/>
  <c r="J3" i="27" l="1"/>
  <c r="A4" i="27"/>
  <c r="J16" i="27"/>
  <c r="I15" i="27"/>
  <c r="I18" i="27" s="1"/>
  <c r="G15" i="27"/>
  <c r="G18" i="27" s="1"/>
  <c r="F15" i="27"/>
  <c r="F18" i="27" s="1"/>
  <c r="E15" i="27"/>
  <c r="E18" i="27" s="1"/>
  <c r="D15" i="27"/>
  <c r="D18" i="27" s="1"/>
  <c r="C15" i="27"/>
  <c r="C18" i="27" s="1"/>
  <c r="B15" i="27"/>
  <c r="B18" i="27" s="1"/>
  <c r="J14" i="27"/>
  <c r="J13" i="27"/>
  <c r="J12" i="27"/>
  <c r="J11" i="27"/>
  <c r="J10" i="27"/>
  <c r="J9" i="27"/>
  <c r="J15" i="27" l="1"/>
  <c r="J18" i="27" s="1"/>
  <c r="F22" i="26" l="1"/>
  <c r="D22" i="26"/>
  <c r="C22" i="26"/>
  <c r="F16" i="26" l="1"/>
  <c r="F28" i="26" s="1"/>
  <c r="C16" i="26"/>
  <c r="C28" i="26" s="1"/>
  <c r="A4" i="26"/>
  <c r="H3" i="26"/>
  <c r="D16" i="26" l="1"/>
  <c r="D28" i="26" s="1"/>
  <c r="H22" i="26" l="1"/>
  <c r="E22" i="26"/>
  <c r="J17" i="21"/>
  <c r="L18" i="18" s="1"/>
  <c r="J16" i="21"/>
  <c r="L17" i="18" s="1"/>
  <c r="J14" i="21"/>
  <c r="L15" i="18" s="1"/>
  <c r="J12" i="21"/>
  <c r="L13" i="18" s="1"/>
  <c r="J9" i="21"/>
  <c r="L10" i="18" s="1"/>
  <c r="E16" i="26" l="1"/>
  <c r="E28" i="26" s="1"/>
  <c r="H16" i="26" l="1"/>
  <c r="H28" i="26" s="1"/>
  <c r="C127" i="21" l="1"/>
  <c r="H13" i="21" s="1"/>
  <c r="J13" i="21" s="1"/>
  <c r="L14" i="18" s="1"/>
  <c r="C124" i="21"/>
  <c r="H11" i="21" s="1"/>
  <c r="J11" i="21" s="1"/>
  <c r="L12" i="18" s="1"/>
  <c r="C121" i="21"/>
  <c r="H10" i="21" s="1"/>
  <c r="J10" i="21" s="1"/>
  <c r="L11" i="18" s="1"/>
  <c r="C15" i="21"/>
  <c r="C18" i="21" s="1"/>
  <c r="B15" i="21"/>
  <c r="B18" i="21" s="1"/>
  <c r="J4" i="25" l="1"/>
  <c r="A6" i="25"/>
  <c r="F15" i="24" l="1"/>
  <c r="F18" i="24" s="1"/>
  <c r="I3" i="24" l="1"/>
  <c r="A4" i="24"/>
  <c r="I40" i="24"/>
  <c r="I71" i="24"/>
  <c r="I70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39" i="24"/>
  <c r="I35" i="24"/>
  <c r="H72" i="24"/>
  <c r="I34" i="24"/>
  <c r="E15" i="24"/>
  <c r="E18" i="24" s="1"/>
  <c r="C15" i="24"/>
  <c r="C18" i="24" s="1"/>
  <c r="B15" i="24"/>
  <c r="B18" i="24" s="1"/>
  <c r="G17" i="24" l="1"/>
  <c r="H17" i="24" s="1"/>
  <c r="I18" i="18" s="1"/>
  <c r="K18" i="18" s="1"/>
  <c r="H15" i="24"/>
  <c r="I72" i="24"/>
  <c r="G15" i="24"/>
  <c r="G18" i="24" l="1"/>
  <c r="H18" i="24"/>
  <c r="E16" i="23"/>
  <c r="D15" i="23"/>
  <c r="C15" i="23"/>
  <c r="C18" i="23" s="1"/>
  <c r="D18" i="23" l="1"/>
  <c r="E3" i="23"/>
  <c r="A4" i="23"/>
  <c r="E17" i="23"/>
  <c r="B15" i="23"/>
  <c r="B18" i="23" s="1"/>
  <c r="E14" i="23"/>
  <c r="E13" i="23"/>
  <c r="E12" i="23"/>
  <c r="E11" i="23"/>
  <c r="E10" i="23"/>
  <c r="E9" i="23"/>
  <c r="E15" i="23" l="1"/>
  <c r="E18" i="23" s="1"/>
  <c r="C3" i="22" l="1"/>
  <c r="A4" i="22"/>
  <c r="C17" i="22"/>
  <c r="B15" i="22"/>
  <c r="B18" i="22" s="1"/>
  <c r="C14" i="22"/>
  <c r="C13" i="22"/>
  <c r="C12" i="22"/>
  <c r="C11" i="22"/>
  <c r="C10" i="22"/>
  <c r="C9" i="22"/>
  <c r="C15" i="22" l="1"/>
  <c r="C18" i="22" s="1"/>
  <c r="J3" i="21" l="1"/>
  <c r="A4" i="18"/>
  <c r="A4" i="21"/>
  <c r="I15" i="21"/>
  <c r="I18" i="21" s="1"/>
  <c r="E15" i="21"/>
  <c r="E18" i="21" s="1"/>
  <c r="H15" i="21"/>
  <c r="H18" i="21" s="1"/>
  <c r="G15" i="21"/>
  <c r="G18" i="21" s="1"/>
  <c r="F15" i="21"/>
  <c r="F18" i="21" s="1"/>
  <c r="D15" i="21"/>
  <c r="D18" i="21" s="1"/>
  <c r="J15" i="21" l="1"/>
  <c r="J18" i="21" s="1"/>
  <c r="E16" i="18" l="1"/>
  <c r="E17" i="14"/>
  <c r="F18" i="14"/>
  <c r="F17" i="14"/>
  <c r="F15" i="14"/>
  <c r="F13" i="14"/>
  <c r="F12" i="14"/>
  <c r="F11" i="14"/>
  <c r="F10" i="14"/>
  <c r="C15" i="16"/>
  <c r="C18" i="16" s="1"/>
  <c r="B17" i="16"/>
  <c r="E18" i="14" s="1"/>
  <c r="E19" i="18" l="1"/>
  <c r="M3" i="18" l="1"/>
  <c r="L16" i="18"/>
  <c r="L19" i="18" s="1"/>
  <c r="I16" i="18"/>
  <c r="I19" i="18" s="1"/>
  <c r="F16" i="18"/>
  <c r="F19" i="18" s="1"/>
  <c r="B16" i="18"/>
  <c r="B19" i="18" s="1"/>
  <c r="M18" i="18" l="1"/>
  <c r="M17" i="18"/>
  <c r="M11" i="18"/>
  <c r="M12" i="18"/>
  <c r="M14" i="18"/>
  <c r="K16" i="18"/>
  <c r="K19" i="18" s="1"/>
  <c r="M15" i="18"/>
  <c r="H16" i="18"/>
  <c r="H19" i="18" s="1"/>
  <c r="M13" i="18"/>
  <c r="C16" i="18"/>
  <c r="C19" i="18" s="1"/>
  <c r="M10" i="18"/>
  <c r="M16" i="18" l="1"/>
  <c r="M19" i="18" s="1"/>
  <c r="C150" i="17"/>
  <c r="H13" i="17" s="1"/>
  <c r="C153" i="17"/>
  <c r="H14" i="17" s="1"/>
  <c r="C147" i="17"/>
  <c r="H11" i="17" s="1"/>
  <c r="C143" i="17"/>
  <c r="H10" i="17" s="1"/>
  <c r="A4" i="16"/>
  <c r="H15" i="17" l="1"/>
  <c r="H18" i="17" s="1"/>
  <c r="C54" i="17"/>
  <c r="F13" i="17" s="1"/>
  <c r="F15" i="17" s="1"/>
  <c r="F18" i="17" s="1"/>
  <c r="C45" i="17"/>
  <c r="D13" i="17" s="1"/>
  <c r="C40" i="17"/>
  <c r="D12" i="17" s="1"/>
  <c r="C35" i="17"/>
  <c r="D10" i="17" s="1"/>
  <c r="D15" i="17" l="1"/>
  <c r="I3" i="17"/>
  <c r="I13" i="17"/>
  <c r="H14" i="14" s="1"/>
  <c r="I12" i="17"/>
  <c r="H13" i="14" s="1"/>
  <c r="I17" i="17"/>
  <c r="H18" i="14" s="1"/>
  <c r="I16" i="17"/>
  <c r="H17" i="14" s="1"/>
  <c r="I14" i="17"/>
  <c r="H15" i="14" s="1"/>
  <c r="I11" i="17"/>
  <c r="H12" i="14" s="1"/>
  <c r="I9" i="17"/>
  <c r="H10" i="14" s="1"/>
  <c r="D18" i="17" l="1"/>
  <c r="I10" i="17"/>
  <c r="I15" i="17" l="1"/>
  <c r="I18" i="17" s="1"/>
  <c r="H11" i="14"/>
  <c r="F29" i="16"/>
  <c r="F3" i="16" l="1"/>
  <c r="D35" i="16"/>
  <c r="B35" i="16"/>
  <c r="F32" i="16"/>
  <c r="C31" i="16"/>
  <c r="C30" i="16"/>
  <c r="F30" i="16" s="1"/>
  <c r="F27" i="16"/>
  <c r="F26" i="16"/>
  <c r="F24" i="16"/>
  <c r="D17" i="16"/>
  <c r="D16" i="16"/>
  <c r="B15" i="16"/>
  <c r="B18" i="16" s="1"/>
  <c r="D14" i="16"/>
  <c r="D13" i="16"/>
  <c r="D12" i="16"/>
  <c r="D11" i="16"/>
  <c r="D10" i="16"/>
  <c r="D9" i="16"/>
  <c r="F31" i="16" l="1"/>
  <c r="E35" i="16"/>
  <c r="F33" i="16"/>
  <c r="D15" i="16"/>
  <c r="D18" i="16" s="1"/>
  <c r="C35" i="16"/>
  <c r="F35" i="16" l="1"/>
  <c r="G18" i="14" l="1"/>
  <c r="G17" i="14"/>
  <c r="G15" i="14"/>
  <c r="G14" i="14"/>
  <c r="G13" i="14"/>
  <c r="G12" i="14"/>
  <c r="G11" i="14"/>
  <c r="G10" i="14"/>
  <c r="F16" i="14"/>
  <c r="F19" i="14" s="1"/>
  <c r="H16" i="14"/>
  <c r="H19" i="14" s="1"/>
  <c r="E16" i="14"/>
  <c r="E19" i="14" s="1"/>
  <c r="G16" i="14" l="1"/>
  <c r="G19" i="14" s="1"/>
  <c r="C16" i="14" l="1"/>
  <c r="C19" i="14" s="1"/>
  <c r="D17" i="14"/>
  <c r="I17" i="14" s="1"/>
  <c r="D15" i="14" l="1"/>
  <c r="I15" i="14" s="1"/>
  <c r="D14" i="14"/>
  <c r="I14" i="14" s="1"/>
  <c r="D13" i="14"/>
  <c r="I13" i="14" s="1"/>
  <c r="D12" i="14"/>
  <c r="I12" i="14" s="1"/>
  <c r="D11" i="14"/>
  <c r="I11" i="14" s="1"/>
  <c r="B16" i="14"/>
  <c r="B19" i="14" s="1"/>
  <c r="D18" i="14" l="1"/>
  <c r="I18" i="14" s="1"/>
  <c r="D10" i="14"/>
  <c r="I10" i="14" s="1"/>
  <c r="I16" i="14" s="1"/>
  <c r="I19" i="14" l="1"/>
  <c r="D16" i="14"/>
  <c r="D19" i="14" s="1"/>
  <c r="D15" i="6" l="1"/>
  <c r="D18" i="6" s="1"/>
  <c r="C15" i="6"/>
  <c r="C18" i="6" s="1"/>
  <c r="B15" i="6"/>
  <c r="B18" i="6" s="1"/>
  <c r="E15" i="6"/>
  <c r="E18" i="6" s="1"/>
  <c r="A4" i="6"/>
  <c r="E2" i="6"/>
</calcChain>
</file>

<file path=xl/sharedStrings.xml><?xml version="1.0" encoding="utf-8"?>
<sst xmlns="http://schemas.openxmlformats.org/spreadsheetml/2006/main" count="1857" uniqueCount="600">
  <si>
    <t xml:space="preserve">Attachment A: FY25-26 General Fund Base Budget Allocation </t>
  </si>
  <si>
    <t>BPA #25-01</t>
  </si>
  <si>
    <t>Undesignated</t>
  </si>
  <si>
    <t>Designated</t>
  </si>
  <si>
    <t>Fees</t>
  </si>
  <si>
    <t>Grand</t>
  </si>
  <si>
    <t>2025-26</t>
  </si>
  <si>
    <t>Total</t>
  </si>
  <si>
    <t>24-25 Base
Allocation</t>
  </si>
  <si>
    <t>25-26 Base Adjustments</t>
  </si>
  <si>
    <t xml:space="preserve">
Base Undesignated
Allocation</t>
  </si>
  <si>
    <t>Base
Designated
Designated</t>
  </si>
  <si>
    <t>Other Adjustments</t>
  </si>
  <si>
    <t>Base
Designated
Allocation</t>
  </si>
  <si>
    <t>Base
Fee
Allocation</t>
  </si>
  <si>
    <t>Attachment B</t>
  </si>
  <si>
    <t>Attachment C</t>
  </si>
  <si>
    <t>Office of the President</t>
  </si>
  <si>
    <t>Academic Affairs</t>
  </si>
  <si>
    <t>Administrative Affairs</t>
  </si>
  <si>
    <t>IT</t>
  </si>
  <si>
    <t>Student Affairs</t>
  </si>
  <si>
    <t>University Advancement</t>
  </si>
  <si>
    <t>Division Total</t>
  </si>
  <si>
    <t>University Level Financial Aid</t>
  </si>
  <si>
    <t>University Level</t>
  </si>
  <si>
    <t>CPP Campus Total</t>
  </si>
  <si>
    <t>(1) FY24-25 Undesignated base budget according to allocation memo #24-01R.</t>
  </si>
  <si>
    <r>
      <t xml:space="preserve">   University Level Financial Aid contains $39,573,000 SUG, $832,210 State EOP Grant Program, $30,199 State Graduate Fellowship</t>
    </r>
    <r>
      <rPr>
        <b/>
        <sz val="11"/>
        <color theme="1"/>
        <rFont val="Calibri"/>
        <family val="2"/>
        <scheme val="minor"/>
      </rPr>
      <t>.</t>
    </r>
  </si>
  <si>
    <t>(2) Recurring one-time funds for prior years ongoing commitments; includes $2,848,000 for 32 net new tenure hires funded with Designated funds in FY24-25.</t>
  </si>
  <si>
    <t xml:space="preserve">   $11,985,000 SUG adjustment; see Attachment H for a breakdown of all financial aid.</t>
  </si>
  <si>
    <t xml:space="preserve">   University level funds earmarked for recurring and one-time obligations.</t>
  </si>
  <si>
    <t>Attachment B: FY25-26 General Fund Base Designated Allocation</t>
  </si>
  <si>
    <t>24-25
Base
Designated
Allocation</t>
  </si>
  <si>
    <t>25-26 Base Adjustment</t>
  </si>
  <si>
    <t>25-26
Base
Designated
Allocation</t>
  </si>
  <si>
    <t xml:space="preserve"> -   </t>
  </si>
  <si>
    <t xml:space="preserve"> A detail listing is on the following page</t>
  </si>
  <si>
    <t>Designations</t>
  </si>
  <si>
    <t>PRESIDENTS</t>
  </si>
  <si>
    <t>ACADEMIC</t>
  </si>
  <si>
    <t>STUDENT</t>
  </si>
  <si>
    <t>TOTAL</t>
  </si>
  <si>
    <t>OFFICE</t>
  </si>
  <si>
    <t>AFFAIRS</t>
  </si>
  <si>
    <t>C1460 - AB1460 Ethnic Studies</t>
  </si>
  <si>
    <t>C3189 - Renaissance Scholars</t>
  </si>
  <si>
    <t>C3285 - Academic Student Success Prgrm</t>
  </si>
  <si>
    <t>C3344 - Student Success RFP</t>
  </si>
  <si>
    <t>C3371 - Disability Accomodation</t>
  </si>
  <si>
    <t>C3389 - Project Rebound</t>
  </si>
  <si>
    <t>GI 2025 - Tenure Track Faculty</t>
  </si>
  <si>
    <t>GI 2025</t>
  </si>
  <si>
    <t>Financial Aid</t>
  </si>
  <si>
    <t>Basic Needs (C3371 &amp; C3360)</t>
  </si>
  <si>
    <t>Attachment C: FY25-26 General Fund Base Fee Allocation</t>
  </si>
  <si>
    <t>Catetory I
Doctoral
Differential
Fee</t>
  </si>
  <si>
    <t>Category I
Graduate Business Prof Fee</t>
  </si>
  <si>
    <t xml:space="preserve">
Category II Student Success
Fee</t>
  </si>
  <si>
    <t>Category II
Student Health
Fee</t>
  </si>
  <si>
    <t>Category II
Orientation &amp; Photo ID
Fee</t>
  </si>
  <si>
    <t>Category III
Misc. Course Fees</t>
  </si>
  <si>
    <t>Category IV
Fees</t>
  </si>
  <si>
    <t xml:space="preserve">25-26
Base
Fee
Allocation
</t>
  </si>
  <si>
    <t>Note: Allocation is based on estimated revenue and should cover all expenses including benefits.</t>
  </si>
  <si>
    <t>Category I</t>
  </si>
  <si>
    <t>Doctoral Fee - College Portion</t>
  </si>
  <si>
    <t>Doctoral Fee - Financial Aid</t>
  </si>
  <si>
    <t>Doctoral Fee - University Level</t>
  </si>
  <si>
    <t>Total Academic Affairs</t>
  </si>
  <si>
    <t>Graduate Professional Fee</t>
  </si>
  <si>
    <t>Category II - Student Success Fee</t>
  </si>
  <si>
    <t>Improve your classroom experience</t>
  </si>
  <si>
    <t>Support your academic success</t>
  </si>
  <si>
    <t>Enrich your path to graduation</t>
  </si>
  <si>
    <t>Strengthen your Wi-Fi and network connection</t>
  </si>
  <si>
    <t>Expand your IT help desk</t>
  </si>
  <si>
    <t>Access upgraded technology</t>
  </si>
  <si>
    <t>Total IT</t>
  </si>
  <si>
    <t>Support Bronco pride</t>
  </si>
  <si>
    <t>Embrace diversity and veterans</t>
  </si>
  <si>
    <t>Fund student project lab</t>
  </si>
  <si>
    <t>Total Student Affairs</t>
  </si>
  <si>
    <t>Category II - Student Health</t>
  </si>
  <si>
    <t>Student Health Fee</t>
  </si>
  <si>
    <t>Category II - Orientation*</t>
  </si>
  <si>
    <t>Orientation Fee</t>
  </si>
  <si>
    <t>Photo ID</t>
  </si>
  <si>
    <t>*Based on a total est. revenue of $1,124,840 split between $189.29 for Orientation (96.43%) and $7 for Photo ID (3.57%).</t>
  </si>
  <si>
    <t>Category III - Misc. Course Fees</t>
  </si>
  <si>
    <t>00000 - No Class Value</t>
  </si>
  <si>
    <t>AH202 - Clinical Anatomy Lab</t>
  </si>
  <si>
    <t>*</t>
  </si>
  <si>
    <t>AH335 - AHS 3235L - Lb Prcdr Clnc Path</t>
  </si>
  <si>
    <t>AH363 - AHS 3263L - Srgcl Nursng Sklls</t>
  </si>
  <si>
    <t>AH369 - Lab Animal Mgmt Rules &amp; Reg</t>
  </si>
  <si>
    <t>AH407 - AH407-Critical Care</t>
  </si>
  <si>
    <t>AM265 - AMM 2605L - Footwear Materials</t>
  </si>
  <si>
    <t>AM280 - AMM 2800L - Apprl Cstrctn Qlty</t>
  </si>
  <si>
    <t>AM360 - AMM 3600L - Txtle Qlty Assrnce</t>
  </si>
  <si>
    <t>AM414 - AMM 4140L - Apprl Prd Dev Sim</t>
  </si>
  <si>
    <t>AV114 - Food Animal Science Lab</t>
  </si>
  <si>
    <t>AV125 - Equine Management Lab</t>
  </si>
  <si>
    <t>AV350 - Anat &amp; Phys of Domestic Animal</t>
  </si>
  <si>
    <t>AV430 - Biotech App in Animal Science</t>
  </si>
  <si>
    <t>BI111 - BIO111L - Life Science Lab</t>
  </si>
  <si>
    <t>BI115 - BIO115L - Basic Biology Lab</t>
  </si>
  <si>
    <t>BI121 - BIO121L - Energy &amp; Matter Lab</t>
  </si>
  <si>
    <t>BI122 - BIO1220L-Foundations of Bio</t>
  </si>
  <si>
    <t>BI206 - BIO2060L-Basic Micro Lab</t>
  </si>
  <si>
    <t>BI235 - BIO235L - Human Physiology</t>
  </si>
  <si>
    <t>BI440 - BI440 - Stem Cell Lab</t>
  </si>
  <si>
    <t>BI463 - BIO4635L - Med MicroBio Lab</t>
  </si>
  <si>
    <t>BI465 - BI465 - Immunology Lab</t>
  </si>
  <si>
    <t>BI467 - BIO4670L-Gen Virology Lab Fee</t>
  </si>
  <si>
    <t>BI470 - BIO4700L - Hematology Lab</t>
  </si>
  <si>
    <t>BKSLP - BKSLP-Bookstore Laptop Program</t>
  </si>
  <si>
    <t>C4416 - Bookstore Voucher Program</t>
  </si>
  <si>
    <t>CE320 - CE3201L-Environ Resource Mgmt</t>
  </si>
  <si>
    <t>CE340 - CE3401L-Geotechnical Engineer</t>
  </si>
  <si>
    <t>CE420 - CE4201L-Water Supply Lab Fee</t>
  </si>
  <si>
    <t>CE543 - CE5431L-Subsurface Explor &amp; Ch</t>
  </si>
  <si>
    <t>CH121 &amp; CH122 - CHM 1210L &amp; CHM1220L -General Chemistry</t>
  </si>
  <si>
    <t>CH201 - CHM2010-Elemt Organic Chem Lab</t>
  </si>
  <si>
    <t>CH221 - CHM221L - Quantitative Analys</t>
  </si>
  <si>
    <t>CH314 - CHM3140L-Organic Chem I Lab</t>
  </si>
  <si>
    <t>CH315 - CHM3150L-Organic Chemistry II</t>
  </si>
  <si>
    <t>CH327 - CH3270L-Biochemistry Lab I</t>
  </si>
  <si>
    <t>EBK01 - E-Book Fee</t>
  </si>
  <si>
    <t>EE100 - ECE Lab Fee</t>
  </si>
  <si>
    <t>FS427 - FS4271L-Food Processing</t>
  </si>
  <si>
    <t>HT250 - HRT2550-Healthy Amer Cuisine</t>
  </si>
  <si>
    <t>HT281 - HRT281-Professional Cook</t>
  </si>
  <si>
    <t>HT312 - HRT 312-Beer and Culture</t>
  </si>
  <si>
    <t>HT315 - HRT315-Wines,Beer,Spirit</t>
  </si>
  <si>
    <t>HT324 - HRT324-World Cuisine</t>
  </si>
  <si>
    <t>HT325 - HRT325-Prof Health Cooking</t>
  </si>
  <si>
    <t>HT381 - HRT381-Professional Cook I</t>
  </si>
  <si>
    <t>MF201 - Manufact Sys and Proc Lab Fee</t>
  </si>
  <si>
    <t>NT121 - NTR1210L-Intro to Food</t>
  </si>
  <si>
    <t>PL112 - PLT1120L-Landscape Horticultur</t>
  </si>
  <si>
    <t>TX005 - Dietetic Internship</t>
  </si>
  <si>
    <t>TX011 - ADA Trans Evaluation</t>
  </si>
  <si>
    <t>VC312 - VCD1312A-Begin Life Drawing</t>
  </si>
  <si>
    <t>VC330 - VCD1330A-Intro to Clay</t>
  </si>
  <si>
    <t>VC361 - VCD3361A-Life Drawing</t>
  </si>
  <si>
    <t>VC363 - VCD3363A-Printmaking</t>
  </si>
  <si>
    <t>VC364 - VCD3364A-Ceramica</t>
  </si>
  <si>
    <t>VC365 - VCD3365A-Fundamental of Sculp</t>
  </si>
  <si>
    <t>AHS 1129L Animal Handling and Restraint Lab</t>
  </si>
  <si>
    <t>**</t>
  </si>
  <si>
    <t>AHS 2208L Diagnostic Imaging Lab</t>
  </si>
  <si>
    <t>AHS 3042L Dentistry Skills Lab</t>
  </si>
  <si>
    <t>AHS 3305L Parasitology and Animal Diseaase Lab</t>
  </si>
  <si>
    <t>AHS4200L Large Animal Medicine and Nursing Skills Lab</t>
  </si>
  <si>
    <t>AVS 1115L Companion Animal Management Lab</t>
  </si>
  <si>
    <t>AVS 4214L Mammalian Reproduction and Lactational Physiology Lab</t>
  </si>
  <si>
    <t>*Adjusted to reflect a fee increase</t>
  </si>
  <si>
    <t>**New fee</t>
  </si>
  <si>
    <t>Category IV User Fee</t>
  </si>
  <si>
    <t>63462 - Registrar's Office</t>
  </si>
  <si>
    <t>C4401 - Chemistry</t>
  </si>
  <si>
    <t>C4403 - Diploma</t>
  </si>
  <si>
    <t>C4404 - Physical Education</t>
  </si>
  <si>
    <t>C4406 - Library Obligations</t>
  </si>
  <si>
    <t>C4407 - Library Fines/Late Fees</t>
  </si>
  <si>
    <t>C4413 - Math/Calculus Placement</t>
  </si>
  <si>
    <t>C4415 - Special Exam Revenue</t>
  </si>
  <si>
    <t>TX019 - Credential Evaluation</t>
  </si>
  <si>
    <t>TX038 - Grad Writing Test</t>
  </si>
  <si>
    <t>TX040 - IGE Trust</t>
  </si>
  <si>
    <t>TX048 - PCPT</t>
  </si>
  <si>
    <t>TX051 - Musical Instrument Repair</t>
  </si>
  <si>
    <t>TX058 - Proj &amp; Thesis Binding</t>
  </si>
  <si>
    <t>TX008 - Univ Acctg</t>
  </si>
  <si>
    <t>Total Admin Affairs</t>
  </si>
  <si>
    <t>501813 - Medical Services</t>
  </si>
  <si>
    <t>C4402 - Commencement</t>
  </si>
  <si>
    <t>Total Advancement</t>
  </si>
  <si>
    <t>Attachment D: FY25-26 General Fund Carryforward &amp; One-Time Fund Allocation</t>
  </si>
  <si>
    <t>(8)</t>
  </si>
  <si>
    <t>24-25
Year-End Balance</t>
  </si>
  <si>
    <t>25-26
One-Time Adjustment</t>
  </si>
  <si>
    <t>25-26
One-Time Allocation</t>
  </si>
  <si>
    <t>Total
One-Time Allocation</t>
  </si>
  <si>
    <t>25-26
Compensation &amp; O/E (Recurring Funding)</t>
  </si>
  <si>
    <t>25-26
CSUEU Steps (Recurring Funding)</t>
  </si>
  <si>
    <t>25-26
One Time &amp; Recurring One-Time Allocation</t>
  </si>
  <si>
    <t>25-26
One-Time 
Adjustment</t>
  </si>
  <si>
    <t>25-26 Carryforward &amp; One-Time Allocation</t>
  </si>
  <si>
    <t>Attachment E</t>
  </si>
  <si>
    <t>Attachment F</t>
  </si>
  <si>
    <t>(1) FY24-25 year-end Undesignated carryforward according to Tableau.</t>
  </si>
  <si>
    <t xml:space="preserve">(2) OoP: Move $1,307 deficit in 73710-C1029 Designated to 73710-00000 Undesignated.  </t>
  </si>
  <si>
    <t xml:space="preserve">   Academic Affairs: $201,024 retro allocation for Fall 2024 faculty promotion.  </t>
  </si>
  <si>
    <t xml:space="preserve">   Academic Affairs: Transfer $23,925 from Academic Affairs to University Level to offset deficit in Financial Aid Institutional Scholarships/Grants.  See Attachment H for more details.</t>
  </si>
  <si>
    <t xml:space="preserve">   University Advancement: Allocate $364,560 to cover deficit in Commencement 74211-C4403 and 74211-C4402.</t>
  </si>
  <si>
    <t>(3) One-time allocation to address divisional deficits.  Subject to additional guidelines (refer to the cover memo).</t>
  </si>
  <si>
    <t>(4) OoP: $130,000 for payroll manager.</t>
  </si>
  <si>
    <t xml:space="preserve">   Admin Affairs: $285,995 SUPA equity adjustment for UPD.</t>
  </si>
  <si>
    <t xml:space="preserve">   IT: $33,000 for software inflationary adjustment ($660,000 in FY24-25; $693k in FY25-26)</t>
  </si>
  <si>
    <t>(5) Recurring allocation using one-time funds for CSUEU steps implementation; amount is for a whole year.</t>
  </si>
  <si>
    <t>(6) FY24-25 year-end Designated carryforward balances according to Tableau.  See Attachment E for more details.</t>
  </si>
  <si>
    <t xml:space="preserve">(7) OoP: Move $1,307 deficit in 73710-C1029 Designated to 73710-00000 Undesignated.  </t>
  </si>
  <si>
    <t xml:space="preserve">   Academic Affairs: Move $556 deficit in 69300-C3285 Adin Affairs to Academic Affairs (belongs to 16930 Poly Transfer).</t>
  </si>
  <si>
    <t xml:space="preserve">   Admin Affairs: Move $556 deficit in 69300-C3285 to Academic Affairs (belongs to 16930 Poly Transfer); move $6 deficit in 72100-C3371 to 62600-C3371 Student Affairs.</t>
  </si>
  <si>
    <t xml:space="preserve">   Student Affairs ($6) deficit due to incorrect Admin Affairs PO that belongs to Student Affairs (62600-C3371).</t>
  </si>
  <si>
    <t>(8) FY24-25 year-end Fee carryforward balances according to Tableau.  See attachment F for more details.</t>
  </si>
  <si>
    <t>Attachment E: FY25-26 General Fund Designated Carryforward &amp; One-Time Fund Allocation</t>
  </si>
  <si>
    <t>Carryforward</t>
  </si>
  <si>
    <t>(5)</t>
  </si>
  <si>
    <t>GI 2025 for Tenure Density</t>
  </si>
  <si>
    <t xml:space="preserve">GI 2025
</t>
  </si>
  <si>
    <t xml:space="preserve">Cal-Bridge
</t>
  </si>
  <si>
    <t>Student Success RFP</t>
  </si>
  <si>
    <t>Basic
Needs</t>
  </si>
  <si>
    <t>Other
Designated</t>
  </si>
  <si>
    <t>25-26 Total
Carryforward Allocation</t>
  </si>
  <si>
    <t xml:space="preserve"> </t>
  </si>
  <si>
    <t>Designation is based on CO's designation and not campus-level designation.</t>
  </si>
  <si>
    <t>(1) Carryforward from Designated funds for tenure density, C3361</t>
  </si>
  <si>
    <t xml:space="preserve">(2) Carryforward from Designated funds for GI2025, C336X.  </t>
  </si>
  <si>
    <t>(3) Cal-Bridge program Carryforward funds, C3431</t>
  </si>
  <si>
    <t>(4) Student Success RFP Carryforward funds, C3344</t>
  </si>
  <si>
    <t xml:space="preserve">  Admin Affairs ($556) deficit due to incorrect payment that belongs to Academic Affairs (16930 Poly Transfer).</t>
  </si>
  <si>
    <t>(5) Admin Affairs ($6) deficit due to incorrect PO that belongs to Student Affairs (62600-C3371).</t>
  </si>
  <si>
    <t xml:space="preserve">   Student basic needs Carryforward funds, C337x. </t>
  </si>
  <si>
    <t xml:space="preserve">(6) Other Designated includes the remaining Designated funds; see the breakdown on the next page. </t>
  </si>
  <si>
    <t xml:space="preserve"> A detail listing is on the following page.</t>
  </si>
  <si>
    <t>ADMIN</t>
  </si>
  <si>
    <t>UNIVERSITY</t>
  </si>
  <si>
    <t>Category</t>
  </si>
  <si>
    <t>ADVANCEMENT</t>
  </si>
  <si>
    <t>C1005 - Research &amp; Creative Activity</t>
  </si>
  <si>
    <t>Other Designated</t>
  </si>
  <si>
    <t>C1014 - Service Learning</t>
  </si>
  <si>
    <t>C1028 - SB24-Stdnt Right to Access Pgm</t>
  </si>
  <si>
    <t>C1029 - Title IX</t>
  </si>
  <si>
    <t>C1030 - Lanterman, Phase 1</t>
  </si>
  <si>
    <t>C3043 - Job Location &amp; Dev</t>
  </si>
  <si>
    <t>C3157 - Chancellor's FinAid Funds</t>
  </si>
  <si>
    <t>C3191 - Articulation Support</t>
  </si>
  <si>
    <t>C3218 - Math/Science Initiative</t>
  </si>
  <si>
    <t>C3257 - CO TEACH Fund</t>
  </si>
  <si>
    <t>(a)</t>
  </si>
  <si>
    <t>C3325 - CSU Senate Travel</t>
  </si>
  <si>
    <t>C3360 - SSCI - GI2025</t>
  </si>
  <si>
    <t>GI2025</t>
  </si>
  <si>
    <t>(b)</t>
  </si>
  <si>
    <t>C3361 - SSCI - Tenure Track Faculty</t>
  </si>
  <si>
    <t>GI2025 Tenure Track</t>
  </si>
  <si>
    <t>C3362 - SSCI - Enhanced Advising</t>
  </si>
  <si>
    <t>C3363 - SSCI - Bottleneck Solutions</t>
  </si>
  <si>
    <t>C3364 - SSCI - Student Prep</t>
  </si>
  <si>
    <t>C3365 - SSCI - Retention</t>
  </si>
  <si>
    <t>C3366 - SSCI - Data-Driven Decisions</t>
  </si>
  <si>
    <t>C3371 - Disability Accommodations</t>
  </si>
  <si>
    <t>Basic Needs</t>
  </si>
  <si>
    <t>C3372 - Hunger-Free Campus Designation (Basic Needs)</t>
  </si>
  <si>
    <t>C3400 - MSTI-STEM Challenge</t>
  </si>
  <si>
    <t>C3418 - Fac Prf Dev &amp; Eq Opp Practices</t>
  </si>
  <si>
    <t>C3421 - Direct Student Support</t>
  </si>
  <si>
    <t>C3431 - Cal-Bridge Program</t>
  </si>
  <si>
    <t>Cal Bridge</t>
  </si>
  <si>
    <t>C3454 - CPP UNIVERSITY FARMS</t>
  </si>
  <si>
    <t>C3464 - AANHPI Program</t>
  </si>
  <si>
    <t>C3469 - Black Student Success</t>
  </si>
  <si>
    <t>C3474 - Alumni Student Connections</t>
  </si>
  <si>
    <t>C3480 - Time,Place,Manner Allocation</t>
  </si>
  <si>
    <t>C3491 - AI Educ Innovations Challenge</t>
  </si>
  <si>
    <t>TX068 - Teacher Prep Reading</t>
  </si>
  <si>
    <t>Notes:</t>
  </si>
  <si>
    <t>(a) balances in these class codes can be combined and redistributed</t>
  </si>
  <si>
    <t>(b) balances in these class codes can be combined and redistributed since they are all classified as GI2025</t>
  </si>
  <si>
    <t>Attachment F: FY25-26 General Fund Fees Carryforward &amp; One-Time Fund Allocation</t>
  </si>
  <si>
    <t>Category I
Doctoral
Differential
Fee</t>
  </si>
  <si>
    <t xml:space="preserve">Centrally Managed
</t>
  </si>
  <si>
    <t>24-25
Carryforward Allocation</t>
  </si>
  <si>
    <t>(1) June Fee Adjustment (QST763) is based on truing up allocations to actuals.  Amounts are included in the total Carryforward balances.</t>
  </si>
  <si>
    <t>June 2025</t>
  </si>
  <si>
    <t>Total Carryforward</t>
  </si>
  <si>
    <t>Fee Adjustment (1)</t>
  </si>
  <si>
    <t>Doctoral Differential</t>
  </si>
  <si>
    <t>CE127 - CE127-Civil Engin Lab Fee</t>
  </si>
  <si>
    <t>CH121 - CHM 1210L-General Chemistry</t>
  </si>
  <si>
    <t>CH122 - CHM 1220L-General Chemistry</t>
  </si>
  <si>
    <t>HT255 - HRT255-Health AmerCuisine</t>
  </si>
  <si>
    <t>C4410 - KHP - Swimming Fee</t>
  </si>
  <si>
    <t>C4414 - Late Fee Past Due Balance-IPP</t>
  </si>
  <si>
    <t>C4418 - Medical Services</t>
  </si>
  <si>
    <t>Attachment G: FY24-25 Year-End VSIP Severance Pay One-Time Fund Allocation</t>
  </si>
  <si>
    <t>POM01</t>
  </si>
  <si>
    <t>PCR01</t>
  </si>
  <si>
    <t>PCR02</t>
  </si>
  <si>
    <t>TV002</t>
  </si>
  <si>
    <t>TW001</t>
  </si>
  <si>
    <t>TX130</t>
  </si>
  <si>
    <t>TX140</t>
  </si>
  <si>
    <t>TZ001</t>
  </si>
  <si>
    <t>24-25 
One-Time Budget
 Allocation</t>
  </si>
  <si>
    <t>(1) VSIP severance pay allocation for POM01 processed as one-time allocation (QST757).</t>
  </si>
  <si>
    <t>(2) VSIP severance pay allocation for PCR01 &amp; PCR02 posted as additional revenues and budget allocations.</t>
  </si>
  <si>
    <t>(3) VSIP severance pay allocation for self-support funds posted as credits in expenditure accounts to directly offset the expenses.</t>
  </si>
  <si>
    <t>June 2025 Year-End Severance Pay Allocation</t>
  </si>
  <si>
    <t>Division</t>
  </si>
  <si>
    <t>Fund</t>
  </si>
  <si>
    <t>Dept ID</t>
  </si>
  <si>
    <t>Class</t>
  </si>
  <si>
    <t>Amounts</t>
  </si>
  <si>
    <t>20000 - VP Academic Affairs Office</t>
  </si>
  <si>
    <t>00000</t>
  </si>
  <si>
    <t>C3373</t>
  </si>
  <si>
    <t>63000 - VP Student Affairs Office</t>
  </si>
  <si>
    <t>34000 - IT VP/CIO</t>
  </si>
  <si>
    <t>67400 - VP Administrative Affs Office</t>
  </si>
  <si>
    <t>77000 - VP People Culture &amp; Institutional Affairs</t>
  </si>
  <si>
    <t>C3353</t>
  </si>
  <si>
    <t>74300 - VP Univ Advancement Office</t>
  </si>
  <si>
    <t>C5240</t>
  </si>
  <si>
    <t>C3357</t>
  </si>
  <si>
    <t>Sum of Amounts</t>
  </si>
  <si>
    <t>Column Labels</t>
  </si>
  <si>
    <t>Row Labels</t>
  </si>
  <si>
    <t>Grand Total</t>
  </si>
  <si>
    <t>Attachment H: FY25-26 Financial Aid Summary</t>
  </si>
  <si>
    <t>24-25
Base
Allocation</t>
  </si>
  <si>
    <t>25-26
Base
Adjustment</t>
  </si>
  <si>
    <t>25-26
Base 
Financial Aid</t>
  </si>
  <si>
    <t>CFWD Adjustments</t>
  </si>
  <si>
    <t>24-25
Financial Aid
Allocation</t>
  </si>
  <si>
    <t>State University Grant</t>
  </si>
  <si>
    <t>609002-POM01-99910-0801-00000</t>
  </si>
  <si>
    <t>State EOP Grant Program</t>
  </si>
  <si>
    <t>609001-POM01-99910-0801-00000</t>
  </si>
  <si>
    <t>State Graduate Fellowship</t>
  </si>
  <si>
    <t>609004-POM01-99910-0802-00000</t>
  </si>
  <si>
    <t>Institutional Scholarships/Grants</t>
  </si>
  <si>
    <t>609008-POM01-99910-0801-00000</t>
  </si>
  <si>
    <t>Summer Enrollment Grant</t>
  </si>
  <si>
    <t>609815-POM01-99910-0801-00000</t>
  </si>
  <si>
    <t>Emergency Grants - CARES</t>
  </si>
  <si>
    <t>Undesignated Total</t>
  </si>
  <si>
    <t>Doctoral Differential Fee (10%)</t>
  </si>
  <si>
    <t>609008-POM01-99910-0801-C3336</t>
  </si>
  <si>
    <t>Graduate Business Professional Fee (25%)</t>
  </si>
  <si>
    <t>609008-PFA01-99910-0801-00000*</t>
  </si>
  <si>
    <t>TK274 - Cal Poly Pomona Grant</t>
  </si>
  <si>
    <t>609008-POM01-99910-0801-TK274</t>
  </si>
  <si>
    <t>Fees Total</t>
  </si>
  <si>
    <t>Lottery</t>
  </si>
  <si>
    <t>IFT 23-0086 Scholarship Post Bac</t>
  </si>
  <si>
    <t>609008-TY033-99910-0801-00000</t>
  </si>
  <si>
    <t>(1) FY25-26 financial aid budget according to allocation memo #25-01.</t>
  </si>
  <si>
    <t>(2) Financial aid adjustment: SUG $11,985,000 due to 15% of the pool reallocated to universities with the greatest financial need measured by the Student Aid Index (SAI).</t>
  </si>
  <si>
    <t xml:space="preserve">  Doctoral Fee and Graduate Business Professional Fee adjusted according to the revenue projection (see Attachment C - Fees).</t>
  </si>
  <si>
    <t>(3) Carryforward financial aid balances as of 6/30/25.  Negative balance will reduce base budget funding (if available) on a one-time basis.</t>
  </si>
  <si>
    <t>(4) Offset deficit with divisional carryforward since no new allocation is anticipated.</t>
  </si>
  <si>
    <t>*In 609008-POM01-99910-0801-C3292 before transferring to PFA.</t>
  </si>
  <si>
    <t>Attachment I: FY25-26 Lottery Fund Base Allocation</t>
  </si>
  <si>
    <t>24-25
Ending Base
Allocation</t>
  </si>
  <si>
    <t>25-26
Base Budget
Allocation</t>
  </si>
  <si>
    <t>(1) FY24-25 Lottery (TY033) base budget according to allocation memo #24-01R.</t>
  </si>
  <si>
    <t>Attachment J: FY25-26 Lottery Carryforward Allocation</t>
  </si>
  <si>
    <t>23-24
Year-End
Balance
TY006</t>
  </si>
  <si>
    <t>23-24
Year-End
Balance
TY017</t>
  </si>
  <si>
    <t>23-24
Year-End
Balance
TY033</t>
  </si>
  <si>
    <t>University Financial Aid</t>
  </si>
  <si>
    <t>(1) Financial Aid $53,000 IFT23-0086 Scholarship Post-Bac.</t>
  </si>
  <si>
    <t>Attachment K: FY25-26 Cost Recovery Projected Revenue Allocation</t>
  </si>
  <si>
    <t>PCR01
Internal Sources</t>
  </si>
  <si>
    <t>PCR02
External Sources</t>
  </si>
  <si>
    <t>PCR03 FACULTY RELEASE TIME</t>
  </si>
  <si>
    <t>PCR04
Acad Fac Space Rental</t>
  </si>
  <si>
    <t>PCR05
Theater Space Rental</t>
  </si>
  <si>
    <t>PCR06
Film &amp; Photo Shoot</t>
  </si>
  <si>
    <t>PCR07
Capital Proj Mgmt</t>
  </si>
  <si>
    <t>PCR08
Capital Proj Utilities Conn</t>
  </si>
  <si>
    <t>PCR10
AB798 Textbook</t>
  </si>
  <si>
    <t>24-25
Budget
 Allocation</t>
  </si>
  <si>
    <t>Note: Projected budgets are based on recurring revenue trends for the past three years and adjusted for known changes.</t>
  </si>
  <si>
    <t xml:space="preserve">           All PCR budgets should be posted as 'Adjustment' budget scenario.</t>
  </si>
  <si>
    <t xml:space="preserve">          *Division are encouraged to streamline class codes when posting budget for revenues and expenses.  BPA will not enforce the class codes as listed below.</t>
  </si>
  <si>
    <t>Class*</t>
  </si>
  <si>
    <t>Est. Budget</t>
  </si>
  <si>
    <t>PCR01 - COST RECOVERY-INTERNAL SOURCES</t>
  </si>
  <si>
    <t>ACADEMIC AFFAIRS</t>
  </si>
  <si>
    <t>20000</t>
  </si>
  <si>
    <t>20001</t>
  </si>
  <si>
    <t>20100</t>
  </si>
  <si>
    <t>22301</t>
  </si>
  <si>
    <t>22900</t>
  </si>
  <si>
    <t>23100</t>
  </si>
  <si>
    <t>23300</t>
  </si>
  <si>
    <t>29200</t>
  </si>
  <si>
    <t>C3076 - Faculty Professional Needs</t>
  </si>
  <si>
    <t>29700</t>
  </si>
  <si>
    <t>29701</t>
  </si>
  <si>
    <t>30000</t>
  </si>
  <si>
    <t>30200</t>
  </si>
  <si>
    <t>30400</t>
  </si>
  <si>
    <t>30600</t>
  </si>
  <si>
    <t>C1025 - Sci Edu Colloquium ITL Grant</t>
  </si>
  <si>
    <t>30700</t>
  </si>
  <si>
    <t>C9010 - Prin Can-Tch-Shrt 20%</t>
  </si>
  <si>
    <t>31900</t>
  </si>
  <si>
    <t>44601</t>
  </si>
  <si>
    <t>45000</t>
  </si>
  <si>
    <t>45200</t>
  </si>
  <si>
    <t>48301</t>
  </si>
  <si>
    <t>48400</t>
  </si>
  <si>
    <t>C3194 - Laser Cutting</t>
  </si>
  <si>
    <t>C3195 - 3D Printing - Plastic</t>
  </si>
  <si>
    <t>C3196 - 3D Printing - Powder</t>
  </si>
  <si>
    <t>49801</t>
  </si>
  <si>
    <t>49900</t>
  </si>
  <si>
    <t>50000</t>
  </si>
  <si>
    <t>50700</t>
  </si>
  <si>
    <t>54301</t>
  </si>
  <si>
    <t>54900</t>
  </si>
  <si>
    <t>55400</t>
  </si>
  <si>
    <t>55800</t>
  </si>
  <si>
    <t>63700</t>
  </si>
  <si>
    <t>76102</t>
  </si>
  <si>
    <t>ADMIN AFFAIRS</t>
  </si>
  <si>
    <t>65900</t>
  </si>
  <si>
    <t>C3080 - EHS-Haz Waste</t>
  </si>
  <si>
    <t>67400</t>
  </si>
  <si>
    <t>67700</t>
  </si>
  <si>
    <t>67900</t>
  </si>
  <si>
    <t>69100</t>
  </si>
  <si>
    <t>C5005 - Print Mimeo</t>
  </si>
  <si>
    <t>69300</t>
  </si>
  <si>
    <t>C3315 - Postage/Delivery Svc</t>
  </si>
  <si>
    <t>70100</t>
  </si>
  <si>
    <t>70800</t>
  </si>
  <si>
    <t>71063</t>
  </si>
  <si>
    <t>71100</t>
  </si>
  <si>
    <t>71201</t>
  </si>
  <si>
    <t>71202</t>
  </si>
  <si>
    <t>71204</t>
  </si>
  <si>
    <t>71205</t>
  </si>
  <si>
    <t>71300</t>
  </si>
  <si>
    <t>71360</t>
  </si>
  <si>
    <t>71400</t>
  </si>
  <si>
    <t>71501</t>
  </si>
  <si>
    <t>71504</t>
  </si>
  <si>
    <t>72100</t>
  </si>
  <si>
    <t>72664</t>
  </si>
  <si>
    <t>72675</t>
  </si>
  <si>
    <t>72678</t>
  </si>
  <si>
    <t>72679</t>
  </si>
  <si>
    <t>72681</t>
  </si>
  <si>
    <t>75000</t>
  </si>
  <si>
    <t>96000</t>
  </si>
  <si>
    <t>INFORMATION TECH</t>
  </si>
  <si>
    <t>34063</t>
  </si>
  <si>
    <t>C5150 - Production Services Funds</t>
  </si>
  <si>
    <t>C5200 - Auxiliary CB</t>
  </si>
  <si>
    <t>C5210 - Network Auxiliary</t>
  </si>
  <si>
    <t>C5211 - IT NETWORKS</t>
  </si>
  <si>
    <t>C5212 - IT CLASSROOM TECH</t>
  </si>
  <si>
    <t>C5213 - DIGITAL SIGNAGE</t>
  </si>
  <si>
    <t>C5230 - Computer Bulk Buy</t>
  </si>
  <si>
    <t>C5240 - MOU Specific AA</t>
  </si>
  <si>
    <t>PPL CLTR &amp; INST AFFR</t>
  </si>
  <si>
    <t>69600</t>
  </si>
  <si>
    <t>69610</t>
  </si>
  <si>
    <t>69700</t>
  </si>
  <si>
    <t>69710</t>
  </si>
  <si>
    <t>69720</t>
  </si>
  <si>
    <t>69730</t>
  </si>
  <si>
    <t>69740</t>
  </si>
  <si>
    <t>74200</t>
  </si>
  <si>
    <t>PRESIDENTS OFFICE</t>
  </si>
  <si>
    <t>63300</t>
  </si>
  <si>
    <t>73700</t>
  </si>
  <si>
    <t>STUDENT AFFAIRS</t>
  </si>
  <si>
    <t>61500</t>
  </si>
  <si>
    <t>62000</t>
  </si>
  <si>
    <t>62600</t>
  </si>
  <si>
    <t>63000</t>
  </si>
  <si>
    <t>64200</t>
  </si>
  <si>
    <t>64800</t>
  </si>
  <si>
    <t>65400</t>
  </si>
  <si>
    <t>UNIV ADVANCEMENT</t>
  </si>
  <si>
    <t>74300</t>
  </si>
  <si>
    <t>68900</t>
  </si>
  <si>
    <t>99706</t>
  </si>
  <si>
    <t>PCR02 - COST RECOVERY-EXTERNAL SOURCES</t>
  </si>
  <si>
    <t>20700</t>
  </si>
  <si>
    <t>21300</t>
  </si>
  <si>
    <t>22700</t>
  </si>
  <si>
    <t>22761</t>
  </si>
  <si>
    <t>41200</t>
  </si>
  <si>
    <t>44500</t>
  </si>
  <si>
    <t>44700</t>
  </si>
  <si>
    <t>48700</t>
  </si>
  <si>
    <t>50200</t>
  </si>
  <si>
    <t>50300</t>
  </si>
  <si>
    <t>51000</t>
  </si>
  <si>
    <t>C3188 - I-POLY Lease</t>
  </si>
  <si>
    <t>63800</t>
  </si>
  <si>
    <t>73750</t>
  </si>
  <si>
    <t>C3461 - CalNAGPRA</t>
  </si>
  <si>
    <t>61810</t>
  </si>
  <si>
    <t>61900</t>
  </si>
  <si>
    <t>74400</t>
  </si>
  <si>
    <t>74600</t>
  </si>
  <si>
    <t>74800</t>
  </si>
  <si>
    <t>PCR03 - FACULTY RELEASE TIME</t>
  </si>
  <si>
    <t>20610</t>
  </si>
  <si>
    <t>G0335 - STARS Project</t>
  </si>
  <si>
    <t>G4165 - ENGAGE</t>
  </si>
  <si>
    <t>21600</t>
  </si>
  <si>
    <t>G8670 - Project CAMINOS</t>
  </si>
  <si>
    <t>G8895 - McNair Scholar Program</t>
  </si>
  <si>
    <t>22364</t>
  </si>
  <si>
    <t>G1555 - NRCS CDP</t>
  </si>
  <si>
    <t>G4325 - Grape Powder on Chronic Dis</t>
  </si>
  <si>
    <t>G5025 - DEI Nutrition an d Dietetics</t>
  </si>
  <si>
    <t>F0000 - Non-Grant Related</t>
  </si>
  <si>
    <t>G4955 - Rights without Citizenship</t>
  </si>
  <si>
    <t>41301</t>
  </si>
  <si>
    <t>44662</t>
  </si>
  <si>
    <t>G0155 - Fndamantel Study Calcium Sulph</t>
  </si>
  <si>
    <t>G0375 - CPP INVESTS</t>
  </si>
  <si>
    <t>G4435 - Maternal Health Rsch Network</t>
  </si>
  <si>
    <t>G4465 - Approaches Adv Maternal Health</t>
  </si>
  <si>
    <t>G4485 - Ctr Under. Future Trvl Beh Dem</t>
  </si>
  <si>
    <t>G4565 - SCALES</t>
  </si>
  <si>
    <t>G4855 - Acquisition of Reconf HPC</t>
  </si>
  <si>
    <t>G5265 - HD LaDar STTR</t>
  </si>
  <si>
    <t>G4995 - College Corp Californians</t>
  </si>
  <si>
    <t>49861</t>
  </si>
  <si>
    <t>G0225 - NIH T32 Bridges</t>
  </si>
  <si>
    <t>G1035 - COAST</t>
  </si>
  <si>
    <t>G1145 - NIH-Molecular Mch Daple FLT3</t>
  </si>
  <si>
    <t>G1965 - SuRE Program R16</t>
  </si>
  <si>
    <t>G2045 - ARI-23-99-106</t>
  </si>
  <si>
    <t>G4035 - NIH R15</t>
  </si>
  <si>
    <t>G4515 - Consortium for Data Sciences</t>
  </si>
  <si>
    <t>G4575 - Impr Upper Div Physics</t>
  </si>
  <si>
    <t>G4635 - MARINe Monitoring</t>
  </si>
  <si>
    <t>G4735 - Warriors for Big Data Security</t>
  </si>
  <si>
    <t>G4775 - Reactive Oxygen Species</t>
  </si>
  <si>
    <t>G5035 - CZI</t>
  </si>
  <si>
    <t>G8900 - NSF RUI LONG TERM COA</t>
  </si>
  <si>
    <t>54200</t>
  </si>
  <si>
    <t>54369</t>
  </si>
  <si>
    <t>G2065 - Wallace</t>
  </si>
  <si>
    <t>G8680 - LOGRAR</t>
  </si>
  <si>
    <t>54400</t>
  </si>
  <si>
    <t>G2005 - Intergrated Teacher Prep</t>
  </si>
  <si>
    <t>54600</t>
  </si>
  <si>
    <t>G0235 - UP-LIFT</t>
  </si>
  <si>
    <t>G4425 - Dr Seuss</t>
  </si>
  <si>
    <t>G5485 - Vistendo Maxform Dev Study</t>
  </si>
  <si>
    <t>G1220 - Arches Grant - Student Support</t>
  </si>
  <si>
    <t>G8180 - Cal Fresh</t>
  </si>
  <si>
    <t>PCR04 - ACAD FACILITY SPACE RENTAL</t>
  </si>
  <si>
    <t>TX115 - RENT OF FACILITIES-ACAD AFF</t>
  </si>
  <si>
    <t>TX109 - RENT OF FACILITIES-MUSIC</t>
  </si>
  <si>
    <t>48300</t>
  </si>
  <si>
    <t>72010</t>
  </si>
  <si>
    <t>TX110 - LoF - Rental of Facilities</t>
  </si>
  <si>
    <t>72600</t>
  </si>
  <si>
    <t>TX108 - RENT OF FACILITIES-PUBLIC SAFE</t>
  </si>
  <si>
    <t>73500</t>
  </si>
  <si>
    <t>TX106 - RENT OF FACILITIES-PRKG SVCS</t>
  </si>
  <si>
    <t>61100</t>
  </si>
  <si>
    <t>TX112 - RENT OF FACILITIES-ATHLETICS</t>
  </si>
  <si>
    <t>PCR05 - THEATRE SPACE RENTAL</t>
  </si>
  <si>
    <t>TX107 - RENT OF FACILITIES-THEATRE</t>
  </si>
  <si>
    <t>PCR06 - FILM &amp; PHOTO SHOOT SPACE RNTL</t>
  </si>
  <si>
    <t>TX116 - FILMING AND PHOTO SHOOTS</t>
  </si>
  <si>
    <t>PCR07 - CAPITAL PROJECT MANAGEMENT</t>
  </si>
  <si>
    <t>96264</t>
  </si>
  <si>
    <t>C2201 - Lyle CRS Restoration Project</t>
  </si>
  <si>
    <t>C2204 - CEOP Energy Grant</t>
  </si>
  <si>
    <t>C2208 - Bldg 98T Tower Demolition</t>
  </si>
  <si>
    <t>C2251 - Demo Bldgs 57,58,70 &amp; sites Im</t>
  </si>
  <si>
    <t>C6642 - Sheep Unit Silo Replacement Pr</t>
  </si>
  <si>
    <t>Sum of Est. Budget</t>
  </si>
  <si>
    <t>Attachment L: FY25-26 Cost Recovery Carryforward &amp; One-Time Fund Allocation</t>
  </si>
  <si>
    <t>24-25
Carryforward
 Allocation</t>
  </si>
  <si>
    <t>(1) June PCR revenue adjustment (QST769) is based on truing up allocations to actuals.  Amounts are included in the total Carryforward balances.</t>
  </si>
  <si>
    <t>June 2025 Year-End Allocation Adjustments (1)</t>
  </si>
  <si>
    <t>67900 - Student Aid Accting &amp; Cashiers</t>
  </si>
  <si>
    <t>70800 - Motorpool</t>
  </si>
  <si>
    <t>71360 - Facilities-Landscape MOU's</t>
  </si>
  <si>
    <t>34742 - Administrative Apps</t>
  </si>
  <si>
    <t>22761 - Agric Ed SDE Contract</t>
  </si>
  <si>
    <t>22763 - Agric SDE Grant</t>
  </si>
  <si>
    <t>74600 - Development</t>
  </si>
  <si>
    <t>30200 - Theatre and New Dance</t>
  </si>
  <si>
    <t>Attachment F: Financial Aid</t>
  </si>
  <si>
    <t>IT&amp;IP</t>
  </si>
  <si>
    <t xml:space="preserve">   Academic Affairs: $1,468,500 salary for 15 net new T/TT faculty hire; $466,072 for faculty promotion (Fall 2024 $201,024, Fall 2025 $265,048),  costs) </t>
  </si>
  <si>
    <t xml:space="preserve">   Academic Affairs: $5,210,603 to address divisional deficits.  Subject to additional guidelines (refer to the cover memo).</t>
  </si>
  <si>
    <t xml:space="preserve">   Academic Affairs: $1,282,231 for Summer 2025 instructional costs (faculty salary and operation related to enrollment conversion from self-support to state support implemented in Summer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</si>
</sst>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000%"/>
    <numFmt numFmtId="167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Times New Roman"/>
      <family val="2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EDED"/>
        <bgColor rgb="FF000000"/>
      </patternFill>
    </fill>
    <fill>
      <patternFill patternType="solid">
        <fgColor rgb="FFE7E6E6"/>
        <bgColor rgb="FF000000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80">
    <xf numFmtId="0" fontId="0" fillId="0" borderId="0" xfId="0"/>
    <xf numFmtId="37" fontId="0" fillId="0" borderId="0" xfId="0" applyNumberFormat="1" applyAlignment="1">
      <alignment horizontal="center"/>
    </xf>
    <xf numFmtId="37" fontId="0" fillId="0" borderId="0" xfId="0" applyNumberFormat="1"/>
    <xf numFmtId="37" fontId="2" fillId="0" borderId="0" xfId="0" applyNumberFormat="1" applyFont="1"/>
    <xf numFmtId="37" fontId="0" fillId="0" borderId="0" xfId="0" applyNumberFormat="1" applyAlignment="1">
      <alignment horizontal="center" wrapText="1"/>
    </xf>
    <xf numFmtId="37" fontId="1" fillId="0" borderId="0" xfId="0" applyNumberFormat="1" applyFont="1" applyAlignment="1">
      <alignment horizontal="center" wrapText="1"/>
    </xf>
    <xf numFmtId="37" fontId="1" fillId="0" borderId="0" xfId="0" applyNumberFormat="1" applyFont="1" applyAlignment="1">
      <alignment horizontal="center"/>
    </xf>
    <xf numFmtId="164" fontId="0" fillId="0" borderId="0" xfId="1" applyNumberFormat="1" applyFont="1" applyFill="1" applyAlignment="1">
      <alignment horizontal="right" indent="1"/>
    </xf>
    <xf numFmtId="164" fontId="1" fillId="0" borderId="2" xfId="1" applyNumberFormat="1" applyFont="1" applyFill="1" applyBorder="1" applyAlignment="1">
      <alignment horizontal="right" indent="1"/>
    </xf>
    <xf numFmtId="37" fontId="1" fillId="0" borderId="2" xfId="0" applyNumberFormat="1" applyFont="1" applyBorder="1"/>
    <xf numFmtId="5" fontId="1" fillId="0" borderId="4" xfId="0" applyNumberFormat="1" applyFont="1" applyBorder="1"/>
    <xf numFmtId="164" fontId="1" fillId="0" borderId="4" xfId="1" applyNumberFormat="1" applyFont="1" applyFill="1" applyBorder="1" applyAlignment="1">
      <alignment horizontal="right" indent="1"/>
    </xf>
    <xf numFmtId="5" fontId="1" fillId="0" borderId="0" xfId="0" applyNumberFormat="1" applyFont="1"/>
    <xf numFmtId="5" fontId="1" fillId="0" borderId="0" xfId="0" applyNumberFormat="1" applyFont="1" applyAlignment="1">
      <alignment horizontal="right" indent="1"/>
    </xf>
    <xf numFmtId="37" fontId="0" fillId="0" borderId="6" xfId="0" applyNumberFormat="1" applyBorder="1" applyAlignment="1">
      <alignment horizontal="center" wrapText="1"/>
    </xf>
    <xf numFmtId="37" fontId="3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wrapText="1"/>
    </xf>
    <xf numFmtId="14" fontId="5" fillId="0" borderId="0" xfId="0" applyNumberFormat="1" applyFont="1" applyAlignment="1">
      <alignment horizontal="left"/>
    </xf>
    <xf numFmtId="37" fontId="0" fillId="0" borderId="0" xfId="0" applyNumberFormat="1" applyAlignment="1">
      <alignment horizontal="right"/>
    </xf>
    <xf numFmtId="37" fontId="0" fillId="2" borderId="1" xfId="0" applyNumberFormat="1" applyFill="1" applyBorder="1" applyAlignment="1">
      <alignment horizontal="center"/>
    </xf>
    <xf numFmtId="37" fontId="1" fillId="2" borderId="1" xfId="0" applyNumberFormat="1" applyFont="1" applyFill="1" applyBorder="1" applyAlignment="1">
      <alignment horizontal="center" wrapText="1"/>
    </xf>
    <xf numFmtId="37" fontId="3" fillId="2" borderId="7" xfId="0" applyNumberFormat="1" applyFont="1" applyFill="1" applyBorder="1" applyAlignment="1">
      <alignment horizontal="center" vertical="center"/>
    </xf>
    <xf numFmtId="164" fontId="0" fillId="2" borderId="1" xfId="1" applyNumberFormat="1" applyFont="1" applyFill="1" applyBorder="1" applyAlignment="1">
      <alignment horizontal="right" indent="1"/>
    </xf>
    <xf numFmtId="164" fontId="1" fillId="2" borderId="3" xfId="1" applyNumberFormat="1" applyFont="1" applyFill="1" applyBorder="1" applyAlignment="1">
      <alignment horizontal="right" indent="1"/>
    </xf>
    <xf numFmtId="164" fontId="1" fillId="2" borderId="5" xfId="1" applyNumberFormat="1" applyFont="1" applyFill="1" applyBorder="1" applyAlignment="1">
      <alignment horizontal="right" indent="1"/>
    </xf>
    <xf numFmtId="164" fontId="0" fillId="0" borderId="0" xfId="1" applyNumberFormat="1" applyFont="1"/>
    <xf numFmtId="37" fontId="6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65" fontId="2" fillId="0" borderId="0" xfId="0" quotePrefix="1" applyNumberFormat="1" applyFont="1" applyAlignment="1">
      <alignment wrapText="1"/>
    </xf>
    <xf numFmtId="165" fontId="2" fillId="0" borderId="0" xfId="0" quotePrefix="1" applyNumberFormat="1" applyFont="1" applyAlignment="1">
      <alignment horizontal="right" wrapText="1"/>
    </xf>
    <xf numFmtId="37" fontId="0" fillId="3" borderId="0" xfId="0" applyNumberFormat="1" applyFill="1" applyAlignment="1">
      <alignment horizontal="center"/>
    </xf>
    <xf numFmtId="37" fontId="1" fillId="3" borderId="0" xfId="0" applyNumberFormat="1" applyFont="1" applyFill="1" applyAlignment="1">
      <alignment horizontal="center" wrapText="1"/>
    </xf>
    <xf numFmtId="14" fontId="0" fillId="0" borderId="6" xfId="0" applyNumberFormat="1" applyBorder="1" applyAlignment="1">
      <alignment horizontal="center" wrapText="1"/>
    </xf>
    <xf numFmtId="164" fontId="0" fillId="0" borderId="0" xfId="0" applyNumberFormat="1"/>
    <xf numFmtId="37" fontId="7" fillId="0" borderId="0" xfId="0" applyNumberFormat="1" applyFont="1"/>
    <xf numFmtId="37" fontId="8" fillId="0" borderId="0" xfId="0" quotePrefix="1" applyNumberFormat="1" applyFont="1"/>
    <xf numFmtId="37" fontId="0" fillId="0" borderId="0" xfId="0" quotePrefix="1" applyNumberFormat="1" applyAlignment="1">
      <alignment horizontal="center"/>
    </xf>
    <xf numFmtId="0" fontId="10" fillId="5" borderId="11" xfId="0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right" indent="1"/>
    </xf>
    <xf numFmtId="164" fontId="1" fillId="2" borderId="13" xfId="1" applyNumberFormat="1" applyFont="1" applyFill="1" applyBorder="1" applyAlignment="1">
      <alignment horizontal="right" indent="1"/>
    </xf>
    <xf numFmtId="164" fontId="1" fillId="2" borderId="14" xfId="1" applyNumberFormat="1" applyFont="1" applyFill="1" applyBorder="1" applyAlignment="1">
      <alignment horizontal="right" indent="1"/>
    </xf>
    <xf numFmtId="0" fontId="10" fillId="5" borderId="16" xfId="0" applyFont="1" applyFill="1" applyBorder="1" applyAlignment="1">
      <alignment horizontal="center" wrapText="1"/>
    </xf>
    <xf numFmtId="14" fontId="1" fillId="2" borderId="12" xfId="0" applyNumberFormat="1" applyFont="1" applyFill="1" applyBorder="1" applyAlignment="1">
      <alignment horizontal="center" wrapText="1"/>
    </xf>
    <xf numFmtId="164" fontId="0" fillId="2" borderId="11" xfId="1" applyNumberFormat="1" applyFont="1" applyFill="1" applyBorder="1" applyAlignment="1">
      <alignment horizontal="right" indent="1"/>
    </xf>
    <xf numFmtId="37" fontId="1" fillId="0" borderId="15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37" fontId="1" fillId="0" borderId="23" xfId="0" applyNumberFormat="1" applyFont="1" applyBorder="1" applyAlignment="1">
      <alignment horizontal="center" wrapText="1"/>
    </xf>
    <xf numFmtId="37" fontId="1" fillId="3" borderId="16" xfId="0" applyNumberFormat="1" applyFont="1" applyFill="1" applyBorder="1" applyAlignment="1">
      <alignment horizontal="center" wrapText="1"/>
    </xf>
    <xf numFmtId="164" fontId="9" fillId="4" borderId="11" xfId="1" applyNumberFormat="1" applyFont="1" applyFill="1" applyBorder="1" applyAlignment="1">
      <alignment horizontal="right" indent="1"/>
    </xf>
    <xf numFmtId="164" fontId="1" fillId="0" borderId="2" xfId="1" applyNumberFormat="1" applyFont="1" applyBorder="1"/>
    <xf numFmtId="164" fontId="0" fillId="2" borderId="11" xfId="1" applyNumberFormat="1" applyFont="1" applyFill="1" applyBorder="1" applyAlignment="1">
      <alignment horizontal="right"/>
    </xf>
    <xf numFmtId="164" fontId="1" fillId="0" borderId="4" xfId="1" applyNumberFormat="1" applyFont="1" applyBorder="1"/>
    <xf numFmtId="37" fontId="0" fillId="0" borderId="9" xfId="0" applyNumberFormat="1" applyBorder="1" applyAlignment="1">
      <alignment horizontal="center"/>
    </xf>
    <xf numFmtId="0" fontId="9" fillId="5" borderId="11" xfId="0" quotePrefix="1" applyFont="1" applyFill="1" applyBorder="1" applyAlignment="1">
      <alignment horizontal="center" wrapText="1"/>
    </xf>
    <xf numFmtId="3" fontId="9" fillId="0" borderId="0" xfId="0" applyNumberFormat="1" applyFont="1" applyAlignment="1">
      <alignment horizontal="right" indent="1"/>
    </xf>
    <xf numFmtId="0" fontId="9" fillId="0" borderId="0" xfId="0" applyFont="1" applyAlignment="1">
      <alignment horizontal="right" indent="1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 applyAlignment="1">
      <alignment horizontal="right" indent="1"/>
    </xf>
    <xf numFmtId="37" fontId="0" fillId="0" borderId="24" xfId="0" applyNumberFormat="1" applyBorder="1"/>
    <xf numFmtId="37" fontId="0" fillId="0" borderId="24" xfId="0" applyNumberFormat="1" applyBorder="1" applyAlignment="1">
      <alignment horizontal="center"/>
    </xf>
    <xf numFmtId="37" fontId="0" fillId="0" borderId="25" xfId="0" applyNumberFormat="1" applyBorder="1"/>
    <xf numFmtId="37" fontId="0" fillId="0" borderId="25" xfId="0" applyNumberFormat="1" applyBorder="1" applyAlignment="1">
      <alignment horizontal="center"/>
    </xf>
    <xf numFmtId="37" fontId="0" fillId="0" borderId="8" xfId="0" applyNumberFormat="1" applyBorder="1" applyAlignment="1">
      <alignment horizontal="right"/>
    </xf>
    <xf numFmtId="37" fontId="11" fillId="0" borderId="0" xfId="0" applyNumberFormat="1" applyFont="1"/>
    <xf numFmtId="37" fontId="0" fillId="0" borderId="0" xfId="0" applyNumberFormat="1" applyAlignment="1">
      <alignment horizontal="left"/>
    </xf>
    <xf numFmtId="37" fontId="0" fillId="0" borderId="8" xfId="0" applyNumberFormat="1" applyBorder="1"/>
    <xf numFmtId="5" fontId="0" fillId="0" borderId="0" xfId="0" applyNumberFormat="1"/>
    <xf numFmtId="0" fontId="12" fillId="0" borderId="0" xfId="0" applyFont="1" applyAlignment="1">
      <alignment horizontal="right"/>
    </xf>
    <xf numFmtId="164" fontId="0" fillId="0" borderId="0" xfId="1" applyNumberFormat="1" applyFont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4" fillId="0" borderId="0" xfId="1" applyNumberFormat="1" applyFont="1"/>
    <xf numFmtId="0" fontId="13" fillId="0" borderId="0" xfId="0" applyFont="1" applyAlignment="1">
      <alignment horizontal="left" indent="1"/>
    </xf>
    <xf numFmtId="37" fontId="1" fillId="0" borderId="0" xfId="0" applyNumberFormat="1" applyFont="1"/>
    <xf numFmtId="0" fontId="14" fillId="0" borderId="0" xfId="3"/>
    <xf numFmtId="164" fontId="9" fillId="0" borderId="0" xfId="1" applyNumberFormat="1" applyFont="1" applyFill="1" applyAlignment="1">
      <alignment horizontal="right" indent="1"/>
    </xf>
    <xf numFmtId="164" fontId="0" fillId="0" borderId="0" xfId="1" applyNumberFormat="1" applyFont="1" applyFill="1"/>
    <xf numFmtId="0" fontId="0" fillId="0" borderId="0" xfId="0" applyAlignment="1">
      <alignment horizontal="left"/>
    </xf>
    <xf numFmtId="164" fontId="0" fillId="0" borderId="0" xfId="1" applyNumberFormat="1" applyFont="1" applyBorder="1" applyAlignment="1">
      <alignment horizontal="center"/>
    </xf>
    <xf numFmtId="37" fontId="0" fillId="0" borderId="8" xfId="0" applyNumberFormat="1" applyBorder="1" applyAlignment="1">
      <alignment horizontal="center"/>
    </xf>
    <xf numFmtId="37" fontId="0" fillId="0" borderId="9" xfId="0" quotePrefix="1" applyNumberFormat="1" applyBorder="1" applyAlignment="1">
      <alignment horizontal="center"/>
    </xf>
    <xf numFmtId="37" fontId="0" fillId="3" borderId="6" xfId="0" applyNumberFormat="1" applyFill="1" applyBorder="1" applyAlignment="1">
      <alignment horizontal="center" wrapText="1"/>
    </xf>
    <xf numFmtId="164" fontId="0" fillId="3" borderId="0" xfId="1" applyNumberFormat="1" applyFont="1" applyFill="1" applyAlignment="1">
      <alignment horizontal="right" indent="1"/>
    </xf>
    <xf numFmtId="164" fontId="1" fillId="3" borderId="2" xfId="1" applyNumberFormat="1" applyFont="1" applyFill="1" applyBorder="1" applyAlignment="1">
      <alignment horizontal="right" indent="1"/>
    </xf>
    <xf numFmtId="164" fontId="1" fillId="3" borderId="4" xfId="1" applyNumberFormat="1" applyFont="1" applyFill="1" applyBorder="1" applyAlignment="1">
      <alignment horizontal="right" indent="1"/>
    </xf>
    <xf numFmtId="164" fontId="9" fillId="3" borderId="0" xfId="1" applyNumberFormat="1" applyFont="1" applyFill="1" applyAlignment="1">
      <alignment horizontal="right" indent="1"/>
    </xf>
    <xf numFmtId="164" fontId="1" fillId="0" borderId="0" xfId="0" applyNumberFormat="1" applyFont="1" applyAlignment="1">
      <alignment horizontal="right" indent="1"/>
    </xf>
    <xf numFmtId="14" fontId="1" fillId="0" borderId="0" xfId="0" applyNumberFormat="1" applyFont="1" applyAlignment="1">
      <alignment horizontal="center" wrapText="1"/>
    </xf>
    <xf numFmtId="37" fontId="3" fillId="2" borderId="1" xfId="0" applyNumberFormat="1" applyFont="1" applyFill="1" applyBorder="1" applyAlignment="1">
      <alignment horizontal="center" vertical="center"/>
    </xf>
    <xf numFmtId="37" fontId="11" fillId="0" borderId="0" xfId="0" applyNumberFormat="1" applyFont="1" applyAlignment="1">
      <alignment horizontal="left" wrapText="1"/>
    </xf>
    <xf numFmtId="14" fontId="1" fillId="3" borderId="6" xfId="0" applyNumberFormat="1" applyFont="1" applyFill="1" applyBorder="1" applyAlignment="1">
      <alignment horizontal="center" wrapText="1"/>
    </xf>
    <xf numFmtId="14" fontId="1" fillId="3" borderId="0" xfId="0" applyNumberFormat="1" applyFont="1" applyFill="1" applyAlignment="1">
      <alignment horizontal="center" wrapText="1"/>
    </xf>
    <xf numFmtId="164" fontId="9" fillId="3" borderId="0" xfId="1" applyNumberFormat="1" applyFont="1" applyFill="1" applyAlignment="1">
      <alignment horizontal="center"/>
    </xf>
    <xf numFmtId="37" fontId="0" fillId="0" borderId="0" xfId="0" quotePrefix="1" applyNumberFormat="1"/>
    <xf numFmtId="5" fontId="0" fillId="0" borderId="0" xfId="0" applyNumberFormat="1" applyAlignment="1">
      <alignment horizontal="right" indent="1"/>
    </xf>
    <xf numFmtId="164" fontId="0" fillId="0" borderId="0" xfId="0" applyNumberFormat="1" applyAlignment="1">
      <alignment horizontal="right" indent="1"/>
    </xf>
    <xf numFmtId="164" fontId="0" fillId="0" borderId="0" xfId="1" applyNumberFormat="1" applyFont="1" applyAlignment="1">
      <alignment horizontal="right" indent="1"/>
    </xf>
    <xf numFmtId="5" fontId="0" fillId="0" borderId="26" xfId="0" applyNumberFormat="1" applyBorder="1" applyAlignment="1">
      <alignment horizontal="center"/>
    </xf>
    <xf numFmtId="37" fontId="0" fillId="0" borderId="26" xfId="0" applyNumberFormat="1" applyBorder="1" applyAlignment="1">
      <alignment horizontal="center"/>
    </xf>
    <xf numFmtId="164" fontId="4" fillId="0" borderId="0" xfId="1" applyNumberFormat="1" applyFont="1" applyAlignment="1">
      <alignment horizontal="right" indent="1"/>
    </xf>
    <xf numFmtId="0" fontId="0" fillId="0" borderId="0" xfId="0" pivotButton="1"/>
    <xf numFmtId="164" fontId="1" fillId="0" borderId="0" xfId="1" applyNumberFormat="1" applyFont="1" applyFill="1" applyBorder="1" applyAlignment="1">
      <alignment horizontal="right" indent="1"/>
    </xf>
    <xf numFmtId="164" fontId="9" fillId="0" borderId="0" xfId="1" applyNumberFormat="1" applyFont="1" applyFill="1" applyAlignment="1">
      <alignment horizontal="center"/>
    </xf>
    <xf numFmtId="166" fontId="0" fillId="0" borderId="0" xfId="2" applyNumberFormat="1" applyFont="1"/>
    <xf numFmtId="164" fontId="1" fillId="0" borderId="2" xfId="1" applyNumberFormat="1" applyFont="1" applyBorder="1" applyAlignment="1">
      <alignment horizontal="right" indent="1"/>
    </xf>
    <xf numFmtId="0" fontId="3" fillId="0" borderId="0" xfId="0" applyFont="1" applyAlignment="1">
      <alignment horizontal="left"/>
    </xf>
    <xf numFmtId="164" fontId="0" fillId="0" borderId="0" xfId="1" applyNumberFormat="1" applyFont="1" applyFill="1" applyAlignment="1"/>
    <xf numFmtId="37" fontId="1" fillId="0" borderId="2" xfId="1" applyNumberFormat="1" applyFont="1" applyFill="1" applyBorder="1" applyAlignment="1"/>
    <xf numFmtId="164" fontId="1" fillId="0" borderId="2" xfId="1" applyNumberFormat="1" applyFont="1" applyFill="1" applyBorder="1" applyAlignment="1"/>
    <xf numFmtId="37" fontId="1" fillId="0" borderId="4" xfId="1" applyNumberFormat="1" applyFont="1" applyFill="1" applyBorder="1" applyAlignment="1"/>
    <xf numFmtId="37" fontId="1" fillId="0" borderId="0" xfId="0" applyNumberFormat="1" applyFont="1" applyAlignment="1">
      <alignment horizontal="left" wrapText="1"/>
    </xf>
    <xf numFmtId="4" fontId="0" fillId="0" borderId="0" xfId="0" applyNumberFormat="1"/>
    <xf numFmtId="167" fontId="0" fillId="0" borderId="0" xfId="1" applyNumberFormat="1" applyFont="1" applyAlignment="1"/>
    <xf numFmtId="10" fontId="0" fillId="0" borderId="0" xfId="2" applyNumberFormat="1" applyFont="1"/>
    <xf numFmtId="164" fontId="0" fillId="0" borderId="0" xfId="1" applyNumberFormat="1" applyFont="1" applyFill="1" applyAlignment="1">
      <alignment horizontal="center"/>
    </xf>
    <xf numFmtId="164" fontId="0" fillId="0" borderId="8" xfId="1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9" fontId="0" fillId="0" borderId="0" xfId="2" applyFont="1" applyFill="1" applyAlignment="1">
      <alignment horizontal="center"/>
    </xf>
    <xf numFmtId="5" fontId="15" fillId="0" borderId="0" xfId="0" applyNumberFormat="1" applyFont="1" applyAlignment="1">
      <alignment horizontal="left" indent="1"/>
    </xf>
    <xf numFmtId="164" fontId="0" fillId="0" borderId="0" xfId="1" applyNumberFormat="1" applyFont="1" applyAlignment="1">
      <alignment horizontal="left"/>
    </xf>
    <xf numFmtId="10" fontId="1" fillId="0" borderId="0" xfId="2" applyNumberFormat="1" applyFont="1"/>
    <xf numFmtId="164" fontId="9" fillId="0" borderId="0" xfId="1" applyNumberFormat="1" applyFont="1" applyFill="1" applyAlignment="1">
      <alignment horizontal="right"/>
    </xf>
    <xf numFmtId="37" fontId="1" fillId="0" borderId="2" xfId="0" applyNumberFormat="1" applyFont="1" applyBorder="1" applyAlignment="1">
      <alignment horizontal="center"/>
    </xf>
    <xf numFmtId="164" fontId="0" fillId="0" borderId="0" xfId="1" applyNumberFormat="1" applyFont="1" applyFill="1" applyAlignment="1">
      <alignment horizontal="right"/>
    </xf>
    <xf numFmtId="14" fontId="0" fillId="0" borderId="7" xfId="0" applyNumberFormat="1" applyBorder="1" applyAlignment="1">
      <alignment horizontal="center" wrapText="1"/>
    </xf>
    <xf numFmtId="14" fontId="0" fillId="0" borderId="0" xfId="0" applyNumberFormat="1" applyAlignment="1">
      <alignment horizontal="center" wrapText="1"/>
    </xf>
    <xf numFmtId="164" fontId="0" fillId="0" borderId="1" xfId="1" applyNumberFormat="1" applyFont="1" applyFill="1" applyBorder="1" applyAlignment="1">
      <alignment horizontal="right" indent="1"/>
    </xf>
    <xf numFmtId="164" fontId="0" fillId="0" borderId="0" xfId="1" applyNumberFormat="1" applyFont="1" applyFill="1" applyBorder="1" applyAlignment="1">
      <alignment horizontal="right" indent="1"/>
    </xf>
    <xf numFmtId="164" fontId="1" fillId="0" borderId="3" xfId="1" applyNumberFormat="1" applyFont="1" applyFill="1" applyBorder="1" applyAlignment="1">
      <alignment horizontal="right" indent="1"/>
    </xf>
    <xf numFmtId="164" fontId="0" fillId="0" borderId="1" xfId="1" applyNumberFormat="1" applyFont="1" applyFill="1" applyBorder="1" applyAlignment="1">
      <alignment horizontal="right"/>
    </xf>
    <xf numFmtId="164" fontId="0" fillId="0" borderId="0" xfId="1" applyNumberFormat="1" applyFont="1" applyBorder="1" applyAlignment="1">
      <alignment horizontal="right"/>
    </xf>
    <xf numFmtId="164" fontId="1" fillId="0" borderId="5" xfId="1" applyNumberFormat="1" applyFont="1" applyFill="1" applyBorder="1" applyAlignment="1">
      <alignment horizontal="right" indent="1"/>
    </xf>
    <xf numFmtId="0" fontId="9" fillId="5" borderId="29" xfId="0" applyFont="1" applyFill="1" applyBorder="1" applyAlignment="1">
      <alignment horizontal="center"/>
    </xf>
    <xf numFmtId="37" fontId="1" fillId="3" borderId="30" xfId="0" applyNumberFormat="1" applyFont="1" applyFill="1" applyBorder="1" applyAlignment="1">
      <alignment horizontal="center" wrapText="1"/>
    </xf>
    <xf numFmtId="44" fontId="1" fillId="0" borderId="0" xfId="4" applyFont="1" applyAlignment="1">
      <alignment horizontal="right" indent="1"/>
    </xf>
    <xf numFmtId="44" fontId="1" fillId="0" borderId="0" xfId="0" applyNumberFormat="1" applyFont="1" applyAlignment="1">
      <alignment horizontal="right" indent="1"/>
    </xf>
    <xf numFmtId="10" fontId="0" fillId="0" borderId="0" xfId="2" applyNumberFormat="1" applyFont="1" applyAlignment="1">
      <alignment horizontal="center"/>
    </xf>
    <xf numFmtId="10" fontId="0" fillId="0" borderId="8" xfId="2" applyNumberFormat="1" applyFont="1" applyBorder="1" applyAlignment="1">
      <alignment horizontal="right"/>
    </xf>
    <xf numFmtId="10" fontId="0" fillId="0" borderId="0" xfId="2" applyNumberFormat="1" applyFont="1" applyBorder="1" applyAlignment="1">
      <alignment horizontal="right"/>
    </xf>
    <xf numFmtId="10" fontId="0" fillId="0" borderId="8" xfId="2" applyNumberFormat="1" applyFont="1" applyBorder="1"/>
    <xf numFmtId="164" fontId="0" fillId="0" borderId="8" xfId="1" applyNumberFormat="1" applyFont="1" applyBorder="1" applyAlignment="1">
      <alignment horizontal="right"/>
    </xf>
    <xf numFmtId="37" fontId="16" fillId="0" borderId="0" xfId="0" applyNumberFormat="1" applyFont="1"/>
    <xf numFmtId="164" fontId="0" fillId="3" borderId="0" xfId="1" applyNumberFormat="1" applyFont="1" applyFill="1"/>
    <xf numFmtId="37" fontId="0" fillId="3" borderId="8" xfId="0" applyNumberFormat="1" applyFill="1" applyBorder="1"/>
    <xf numFmtId="164" fontId="0" fillId="3" borderId="8" xfId="1" applyNumberFormat="1" applyFont="1" applyFill="1" applyBorder="1" applyAlignment="1">
      <alignment horizontal="center"/>
    </xf>
    <xf numFmtId="164" fontId="0" fillId="3" borderId="0" xfId="1" applyNumberFormat="1" applyFont="1" applyFill="1" applyAlignment="1">
      <alignment horizontal="center"/>
    </xf>
    <xf numFmtId="164" fontId="0" fillId="3" borderId="8" xfId="1" applyNumberFormat="1" applyFont="1" applyFill="1" applyBorder="1" applyAlignment="1">
      <alignment horizontal="right"/>
    </xf>
    <xf numFmtId="164" fontId="0" fillId="3" borderId="0" xfId="1" applyNumberFormat="1" applyFont="1" applyFill="1" applyBorder="1" applyAlignment="1">
      <alignment horizontal="right"/>
    </xf>
    <xf numFmtId="0" fontId="16" fillId="3" borderId="0" xfId="0" applyFont="1" applyFill="1"/>
    <xf numFmtId="37" fontId="11" fillId="0" borderId="0" xfId="0" applyNumberFormat="1" applyFont="1" applyAlignment="1">
      <alignment horizontal="center"/>
    </xf>
    <xf numFmtId="37" fontId="1" fillId="3" borderId="0" xfId="0" quotePrefix="1" applyNumberFormat="1" applyFont="1" applyFill="1" applyAlignment="1">
      <alignment horizontal="center"/>
    </xf>
    <xf numFmtId="164" fontId="0" fillId="0" borderId="0" xfId="1" applyNumberFormat="1" applyFont="1" applyAlignment="1">
      <alignment horizontal="right"/>
    </xf>
    <xf numFmtId="43" fontId="0" fillId="0" borderId="0" xfId="1" applyFont="1"/>
    <xf numFmtId="0" fontId="0" fillId="0" borderId="0" xfId="0" applyAlignment="1">
      <alignment horizontal="center"/>
    </xf>
    <xf numFmtId="39" fontId="0" fillId="0" borderId="0" xfId="0" applyNumberFormat="1"/>
    <xf numFmtId="41" fontId="0" fillId="0" borderId="0" xfId="0" applyNumberFormat="1"/>
    <xf numFmtId="43" fontId="0" fillId="0" borderId="8" xfId="0" applyNumberFormat="1" applyBorder="1"/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37" fontId="1" fillId="0" borderId="21" xfId="0" applyNumberFormat="1" applyFont="1" applyBorder="1" applyAlignment="1">
      <alignment horizontal="center"/>
    </xf>
    <xf numFmtId="37" fontId="1" fillId="0" borderId="8" xfId="0" applyNumberFormat="1" applyFont="1" applyBorder="1" applyAlignment="1">
      <alignment horizontal="center"/>
    </xf>
    <xf numFmtId="37" fontId="1" fillId="0" borderId="10" xfId="0" applyNumberFormat="1" applyFont="1" applyBorder="1" applyAlignment="1">
      <alignment horizontal="center"/>
    </xf>
    <xf numFmtId="37" fontId="1" fillId="0" borderId="19" xfId="0" applyNumberFormat="1" applyFont="1" applyBorder="1" applyAlignment="1">
      <alignment horizontal="center"/>
    </xf>
    <xf numFmtId="37" fontId="1" fillId="0" borderId="17" xfId="0" applyNumberFormat="1" applyFont="1" applyBorder="1" applyAlignment="1">
      <alignment horizontal="center"/>
    </xf>
    <xf numFmtId="37" fontId="1" fillId="0" borderId="22" xfId="0" applyNumberFormat="1" applyFont="1" applyBorder="1" applyAlignment="1">
      <alignment horizontal="center"/>
    </xf>
    <xf numFmtId="37" fontId="1" fillId="0" borderId="0" xfId="0" applyNumberFormat="1" applyFont="1" applyAlignment="1">
      <alignment horizontal="center"/>
    </xf>
    <xf numFmtId="37" fontId="1" fillId="0" borderId="20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37" fontId="1" fillId="0" borderId="27" xfId="0" applyNumberFormat="1" applyFont="1" applyBorder="1" applyAlignment="1">
      <alignment horizontal="center"/>
    </xf>
    <xf numFmtId="37" fontId="1" fillId="0" borderId="2" xfId="0" applyNumberFormat="1" applyFont="1" applyBorder="1" applyAlignment="1">
      <alignment horizontal="center"/>
    </xf>
    <xf numFmtId="37" fontId="1" fillId="0" borderId="28" xfId="0" applyNumberFormat="1" applyFont="1" applyBorder="1" applyAlignment="1">
      <alignment horizontal="center"/>
    </xf>
    <xf numFmtId="37" fontId="0" fillId="0" borderId="27" xfId="0" applyNumberFormat="1" applyBorder="1" applyAlignment="1">
      <alignment horizontal="center"/>
    </xf>
    <xf numFmtId="37" fontId="0" fillId="0" borderId="28" xfId="0" applyNumberFormat="1" applyBorder="1" applyAlignment="1">
      <alignment horizontal="center"/>
    </xf>
    <xf numFmtId="37" fontId="0" fillId="0" borderId="2" xfId="0" applyNumberFormat="1" applyBorder="1" applyAlignment="1">
      <alignment horizontal="center"/>
    </xf>
  </cellXfs>
  <cellStyles count="5">
    <cellStyle name="Comma" xfId="1" builtinId="3"/>
    <cellStyle name="Currency" xfId="4" builtinId="4"/>
    <cellStyle name="Hyperlink" xfId="3" builtinId="8"/>
    <cellStyle name="Normal" xfId="0" builtinId="0"/>
    <cellStyle name="Percent" xfId="2" builtinId="5"/>
  </cellStyles>
  <dxfs count="1"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53340</xdr:rowOff>
    </xdr:from>
    <xdr:to>
      <xdr:col>1</xdr:col>
      <xdr:colOff>840191</xdr:colOff>
      <xdr:row>1</xdr:row>
      <xdr:rowOff>259080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73F566-887C-4085-9150-B378AB4AC0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53340"/>
          <a:ext cx="2440391" cy="533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68580</xdr:rowOff>
    </xdr:from>
    <xdr:to>
      <xdr:col>1</xdr:col>
      <xdr:colOff>558251</xdr:colOff>
      <xdr:row>1</xdr:row>
      <xdr:rowOff>274320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AFD728-7D70-4CBF-8A89-49D6B341F5B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" y="68580"/>
          <a:ext cx="2440391" cy="533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68580</xdr:rowOff>
    </xdr:from>
    <xdr:to>
      <xdr:col>2</xdr:col>
      <xdr:colOff>329651</xdr:colOff>
      <xdr:row>1</xdr:row>
      <xdr:rowOff>274320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6E61BC-79B7-4F6C-A07F-EC49F7FB568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8580"/>
          <a:ext cx="2440391" cy="533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45720</xdr:rowOff>
    </xdr:from>
    <xdr:to>
      <xdr:col>1</xdr:col>
      <xdr:colOff>748751</xdr:colOff>
      <xdr:row>1</xdr:row>
      <xdr:rowOff>251460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1D21B4-4E13-4613-A0EA-096B803248A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5720"/>
          <a:ext cx="2440391" cy="5334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1</xdr:col>
      <xdr:colOff>319718</xdr:colOff>
      <xdr:row>2</xdr:row>
      <xdr:rowOff>22860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B531D6-7B11-440A-A8EB-45CDA67E5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2079938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45720</xdr:rowOff>
    </xdr:from>
    <xdr:to>
      <xdr:col>1</xdr:col>
      <xdr:colOff>413471</xdr:colOff>
      <xdr:row>1</xdr:row>
      <xdr:rowOff>251460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CF126F-F362-4405-934C-2DC7D263D8C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" y="45720"/>
          <a:ext cx="2440391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68580</xdr:rowOff>
    </xdr:from>
    <xdr:to>
      <xdr:col>0</xdr:col>
      <xdr:colOff>2516590</xdr:colOff>
      <xdr:row>1</xdr:row>
      <xdr:rowOff>274320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7C16491-82B9-F173-80E3-09635ECE2FD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68580"/>
          <a:ext cx="2440391" cy="533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53340</xdr:rowOff>
    </xdr:from>
    <xdr:to>
      <xdr:col>1</xdr:col>
      <xdr:colOff>878291</xdr:colOff>
      <xdr:row>1</xdr:row>
      <xdr:rowOff>259080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DE7AAA-C190-4E41-A5E4-07CDD2ECA9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53340"/>
          <a:ext cx="2440391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38100</xdr:rowOff>
    </xdr:from>
    <xdr:to>
      <xdr:col>1</xdr:col>
      <xdr:colOff>763991</xdr:colOff>
      <xdr:row>1</xdr:row>
      <xdr:rowOff>243840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D47BE1-0B8E-42CD-8234-2259BD68B7E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38100"/>
          <a:ext cx="2440391" cy="533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17231</xdr:colOff>
      <xdr:row>1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FD90F0-E537-48FD-A3E5-AD0BFD2AD4A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0391" cy="53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53340</xdr:rowOff>
    </xdr:from>
    <xdr:to>
      <xdr:col>0</xdr:col>
      <xdr:colOff>2547071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D2B993-52BF-47CC-944E-17363107B7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53340"/>
          <a:ext cx="2440391" cy="533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60960</xdr:rowOff>
    </xdr:from>
    <xdr:to>
      <xdr:col>1</xdr:col>
      <xdr:colOff>184871</xdr:colOff>
      <xdr:row>1</xdr:row>
      <xdr:rowOff>266700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AD17EF-68C2-4304-A4E4-A787B8D084D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60960"/>
          <a:ext cx="2440391" cy="533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634451</xdr:colOff>
      <xdr:row>1</xdr:row>
      <xdr:rowOff>205740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BEDF83-6033-4D40-8A94-6A70C7621B5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40391" cy="5334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 Lee" refreshedDate="45866.54182835648" createdVersion="8" refreshedVersion="8" minRefreshableVersion="3" recordCount="196" xr:uid="{4B4A5775-77A2-400F-8552-7C47936522D7}">
  <cacheSource type="worksheet">
    <worksheetSource ref="A23:E219" sheet="Attachment K - PCR"/>
  </cacheSource>
  <cacheFields count="5">
    <cacheField name="Fund" numFmtId="0">
      <sharedItems count="7">
        <s v="PCR01 - COST RECOVERY-INTERNAL SOURCES"/>
        <s v="PCR02 - COST RECOVERY-EXTERNAL SOURCES"/>
        <s v="PCR03 - FACULTY RELEASE TIME"/>
        <s v="PCR04 - ACAD FACILITY SPACE RENTAL"/>
        <s v="PCR05 - THEATRE SPACE RENTAL"/>
        <s v="PCR06 - FILM &amp; PHOTO SHOOT SPACE RNTL"/>
        <s v="PCR07 - CAPITAL PROJECT MANAGEMENT"/>
      </sharedItems>
    </cacheField>
    <cacheField name="Division" numFmtId="0">
      <sharedItems count="8">
        <s v="ACADEMIC AFFAIRS"/>
        <s v="ADMIN AFFAIRS"/>
        <s v="INFORMATION TECH"/>
        <s v="PPL CLTR &amp; INST AFFR"/>
        <s v="PRESIDENTS OFFICE"/>
        <s v="STUDENT AFFAIRS"/>
        <s v="UNIV ADVANCEMENT"/>
        <s v="UNIVERSITY"/>
      </sharedItems>
    </cacheField>
    <cacheField name="Dept ID" numFmtId="0">
      <sharedItems/>
    </cacheField>
    <cacheField name="Class" numFmtId="0">
      <sharedItems/>
    </cacheField>
    <cacheField name="Est. Budget" numFmtId="43">
      <sharedItems containsSemiMixedTypes="0" containsString="0" containsNumber="1" containsInteger="1" minValue="80" maxValue="27443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cholas R. Norimoto" refreshedDate="45869.487757060182" createdVersion="8" refreshedVersion="8" minRefreshableVersion="3" recordCount="99" xr:uid="{255C55EC-D90D-47FE-AC14-64A4EAD0E387}">
  <cacheSource type="worksheet">
    <worksheetSource ref="A28:E127" sheet="Attachment G - Severance Pay"/>
  </cacheSource>
  <cacheFields count="5">
    <cacheField name="Division" numFmtId="0">
      <sharedItems count="7">
        <s v="20000 - VP Academic Affairs Office"/>
        <s v="63000 - VP Student Affairs Office"/>
        <s v="34000 - IT VP/CIO"/>
        <s v="67400 - VP Administrative Affs Office"/>
        <s v="77000 - VP People Culture &amp; Institutional Affairs"/>
        <s v="74300 - VP Univ Advancement Office"/>
        <s v="34000 - ITIP VP/CIO" u="1"/>
      </sharedItems>
    </cacheField>
    <cacheField name="Fund" numFmtId="0">
      <sharedItems count="8">
        <s v="POM01"/>
        <s v="PCR01"/>
        <s v="PCR02"/>
        <s v="TV002"/>
        <s v="TW001"/>
        <s v="TX130"/>
        <s v="TX140"/>
        <s v="TZ001"/>
      </sharedItems>
    </cacheField>
    <cacheField name="Dept ID" numFmtId="0">
      <sharedItems containsSemiMixedTypes="0" containsString="0" containsNumber="1" containsInteger="1" minValue="16920" maxValue="74800"/>
    </cacheField>
    <cacheField name="Class" numFmtId="0">
      <sharedItems/>
    </cacheField>
    <cacheField name="Amounts" numFmtId="43">
      <sharedItems containsSemiMixedTypes="0" containsString="0" containsNumber="1" minValue="175.39" maxValue="1878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6">
  <r>
    <x v="0"/>
    <x v="0"/>
    <s v="20000"/>
    <s v="00000 - No Class Value"/>
    <n v="234701"/>
  </r>
  <r>
    <x v="0"/>
    <x v="0"/>
    <s v="20001"/>
    <s v="00000 - No Class Value"/>
    <n v="2744316"/>
  </r>
  <r>
    <x v="0"/>
    <x v="0"/>
    <s v="20100"/>
    <s v="00000 - No Class Value"/>
    <n v="2970"/>
  </r>
  <r>
    <x v="0"/>
    <x v="0"/>
    <s v="22301"/>
    <s v="00000 - No Class Value"/>
    <n v="9064"/>
  </r>
  <r>
    <x v="0"/>
    <x v="0"/>
    <s v="22900"/>
    <s v="00000 - No Class Value"/>
    <n v="80"/>
  </r>
  <r>
    <x v="0"/>
    <x v="0"/>
    <s v="23100"/>
    <s v="00000 - No Class Value"/>
    <n v="945"/>
  </r>
  <r>
    <x v="0"/>
    <x v="0"/>
    <s v="23300"/>
    <s v="00000 - No Class Value"/>
    <n v="34318"/>
  </r>
  <r>
    <x v="0"/>
    <x v="0"/>
    <s v="29200"/>
    <s v="C3076 - Faculty Professional Needs"/>
    <n v="220"/>
  </r>
  <r>
    <x v="0"/>
    <x v="0"/>
    <s v="29700"/>
    <s v="00000 - No Class Value"/>
    <n v="4659"/>
  </r>
  <r>
    <x v="0"/>
    <x v="0"/>
    <s v="29701"/>
    <s v="00000 - No Class Value"/>
    <n v="1800"/>
  </r>
  <r>
    <x v="0"/>
    <x v="0"/>
    <s v="30000"/>
    <s v="00000 - No Class Value"/>
    <n v="696"/>
  </r>
  <r>
    <x v="0"/>
    <x v="0"/>
    <s v="30200"/>
    <s v="00000 - No Class Value"/>
    <n v="255"/>
  </r>
  <r>
    <x v="0"/>
    <x v="0"/>
    <s v="30400"/>
    <s v="00000 - No Class Value"/>
    <n v="585"/>
  </r>
  <r>
    <x v="0"/>
    <x v="0"/>
    <s v="30600"/>
    <s v="C1025 - Sci Edu Colloquium ITL Grant"/>
    <n v="270"/>
  </r>
  <r>
    <x v="0"/>
    <x v="0"/>
    <s v="30700"/>
    <s v="00000 - No Class Value"/>
    <n v="618"/>
  </r>
  <r>
    <x v="0"/>
    <x v="0"/>
    <s v="30700"/>
    <s v="C9010 - Prin Can-Tch-Shrt 20%"/>
    <n v="1800"/>
  </r>
  <r>
    <x v="0"/>
    <x v="0"/>
    <s v="30700"/>
    <s v="TX051 - Musical Instrument Repair"/>
    <n v="255"/>
  </r>
  <r>
    <x v="0"/>
    <x v="0"/>
    <s v="31900"/>
    <s v="C3076 - Faculty Professional Needs"/>
    <n v="225"/>
  </r>
  <r>
    <x v="0"/>
    <x v="0"/>
    <s v="44601"/>
    <s v="00000 - No Class Value"/>
    <n v="6637"/>
  </r>
  <r>
    <x v="0"/>
    <x v="0"/>
    <s v="45000"/>
    <s v="EE100 - ECE Lab Fee"/>
    <n v="333"/>
  </r>
  <r>
    <x v="0"/>
    <x v="0"/>
    <s v="45200"/>
    <s v="MF201 - Manufact Sys and Proc Lab Fee"/>
    <n v="1190"/>
  </r>
  <r>
    <x v="0"/>
    <x v="0"/>
    <s v="48301"/>
    <s v="00000 - No Class Value"/>
    <n v="1153"/>
  </r>
  <r>
    <x v="0"/>
    <x v="0"/>
    <s v="48400"/>
    <s v="C3194 - Laser Cutting"/>
    <n v="6071"/>
  </r>
  <r>
    <x v="0"/>
    <x v="0"/>
    <s v="48400"/>
    <s v="C3195 - 3D Printing - Plastic"/>
    <n v="4369"/>
  </r>
  <r>
    <x v="0"/>
    <x v="0"/>
    <s v="48400"/>
    <s v="C3196 - 3D Printing - Powder"/>
    <n v="831"/>
  </r>
  <r>
    <x v="0"/>
    <x v="0"/>
    <s v="49801"/>
    <s v="00000 - No Class Value"/>
    <n v="1350"/>
  </r>
  <r>
    <x v="0"/>
    <x v="0"/>
    <s v="49900"/>
    <s v="00000 - No Class Value"/>
    <n v="36196"/>
  </r>
  <r>
    <x v="0"/>
    <x v="0"/>
    <s v="49900"/>
    <s v="BI206 - BIO2060L-Basic Micro Lab"/>
    <n v="528"/>
  </r>
  <r>
    <x v="0"/>
    <x v="0"/>
    <s v="49900"/>
    <s v="BI235 - BIO235L - Human Physiology"/>
    <n v="637"/>
  </r>
  <r>
    <x v="0"/>
    <x v="0"/>
    <s v="50000"/>
    <s v="CH201 - CHM2010-Elemt Organic Chem Lab"/>
    <n v="346"/>
  </r>
  <r>
    <x v="0"/>
    <x v="0"/>
    <s v="50000"/>
    <s v="CH221 - CHM221L - Quantitative Analys"/>
    <n v="443"/>
  </r>
  <r>
    <x v="0"/>
    <x v="0"/>
    <s v="50000"/>
    <s v="CH314 - CHM3140L-Organic Chem I Lab"/>
    <n v="675"/>
  </r>
  <r>
    <x v="0"/>
    <x v="0"/>
    <s v="50000"/>
    <s v="CH315 - CHM3150L-Organic Chemistry II"/>
    <n v="875"/>
  </r>
  <r>
    <x v="0"/>
    <x v="0"/>
    <s v="50000"/>
    <s v="CH327 - CH3270L-Biochemistry Lab I"/>
    <n v="702"/>
  </r>
  <r>
    <x v="0"/>
    <x v="0"/>
    <s v="50700"/>
    <s v="C3344 - Student Success RFP"/>
    <n v="159767"/>
  </r>
  <r>
    <x v="0"/>
    <x v="0"/>
    <s v="54301"/>
    <s v="00000 - No Class Value"/>
    <n v="63326"/>
  </r>
  <r>
    <x v="0"/>
    <x v="0"/>
    <s v="54301"/>
    <s v="C3076 - Faculty Professional Needs"/>
    <n v="1695"/>
  </r>
  <r>
    <x v="0"/>
    <x v="0"/>
    <s v="54900"/>
    <s v="00000 - No Class Value"/>
    <n v="540"/>
  </r>
  <r>
    <x v="0"/>
    <x v="0"/>
    <s v="55400"/>
    <s v="00000 - No Class Value"/>
    <n v="485"/>
  </r>
  <r>
    <x v="0"/>
    <x v="0"/>
    <s v="55800"/>
    <s v="00000 - No Class Value"/>
    <n v="4120"/>
  </r>
  <r>
    <x v="0"/>
    <x v="0"/>
    <s v="63700"/>
    <s v="00000 - No Class Value"/>
    <n v="248675"/>
  </r>
  <r>
    <x v="0"/>
    <x v="0"/>
    <s v="63700"/>
    <s v="C3344 - Student Success RFP"/>
    <n v="13500"/>
  </r>
  <r>
    <x v="0"/>
    <x v="0"/>
    <s v="76102"/>
    <s v="00000 - No Class Value"/>
    <n v="3584"/>
  </r>
  <r>
    <x v="0"/>
    <x v="1"/>
    <s v="65900"/>
    <s v="C3080 - EHS-Haz Waste"/>
    <n v="3213"/>
  </r>
  <r>
    <x v="0"/>
    <x v="1"/>
    <s v="67400"/>
    <s v="00000 - No Class Value"/>
    <n v="466965"/>
  </r>
  <r>
    <x v="0"/>
    <x v="1"/>
    <s v="67700"/>
    <s v="00000 - No Class Value"/>
    <n v="308893"/>
  </r>
  <r>
    <x v="0"/>
    <x v="1"/>
    <s v="67700"/>
    <s v="TX008 - Univ Acctg"/>
    <n v="1230819"/>
  </r>
  <r>
    <x v="0"/>
    <x v="1"/>
    <s v="67900"/>
    <s v="00000 - No Class Value"/>
    <n v="657564"/>
  </r>
  <r>
    <x v="0"/>
    <x v="1"/>
    <s v="69100"/>
    <s v="00000 - No Class Value"/>
    <n v="22515"/>
  </r>
  <r>
    <x v="0"/>
    <x v="1"/>
    <s v="69100"/>
    <s v="C5005 - Print Mimeo"/>
    <n v="74161"/>
  </r>
  <r>
    <x v="0"/>
    <x v="1"/>
    <s v="69300"/>
    <s v="00000 - No Class Value"/>
    <n v="27530"/>
  </r>
  <r>
    <x v="0"/>
    <x v="1"/>
    <s v="69300"/>
    <s v="C3315 - Postage/Delivery Svc"/>
    <n v="57869"/>
  </r>
  <r>
    <x v="0"/>
    <x v="1"/>
    <s v="70100"/>
    <s v="00000 - No Class Value"/>
    <n v="127268"/>
  </r>
  <r>
    <x v="0"/>
    <x v="1"/>
    <s v="70800"/>
    <s v="00000 - No Class Value"/>
    <n v="370767"/>
  </r>
  <r>
    <x v="0"/>
    <x v="1"/>
    <s v="71063"/>
    <s v="00000 - No Class Value"/>
    <n v="255298"/>
  </r>
  <r>
    <x v="0"/>
    <x v="1"/>
    <s v="71100"/>
    <s v="00000 - No Class Value"/>
    <n v="28103"/>
  </r>
  <r>
    <x v="0"/>
    <x v="1"/>
    <s v="71201"/>
    <s v="00000 - No Class Value"/>
    <n v="241509"/>
  </r>
  <r>
    <x v="0"/>
    <x v="1"/>
    <s v="71202"/>
    <s v="00000 - No Class Value"/>
    <n v="73993"/>
  </r>
  <r>
    <x v="0"/>
    <x v="1"/>
    <s v="71204"/>
    <s v="00000 - No Class Value"/>
    <n v="121158"/>
  </r>
  <r>
    <x v="0"/>
    <x v="1"/>
    <s v="71205"/>
    <s v="00000 - No Class Value"/>
    <n v="13106"/>
  </r>
  <r>
    <x v="0"/>
    <x v="1"/>
    <s v="71300"/>
    <s v="00000 - No Class Value"/>
    <n v="203265"/>
  </r>
  <r>
    <x v="0"/>
    <x v="1"/>
    <s v="71360"/>
    <s v="00000 - No Class Value"/>
    <n v="1817456"/>
  </r>
  <r>
    <x v="0"/>
    <x v="1"/>
    <s v="71400"/>
    <s v="00000 - No Class Value"/>
    <n v="16910"/>
  </r>
  <r>
    <x v="0"/>
    <x v="1"/>
    <s v="71501"/>
    <s v="00000 - No Class Value"/>
    <n v="273816"/>
  </r>
  <r>
    <x v="0"/>
    <x v="1"/>
    <s v="71504"/>
    <s v="00000 - No Class Value"/>
    <n v="477651"/>
  </r>
  <r>
    <x v="0"/>
    <x v="1"/>
    <s v="72100"/>
    <s v="00000 - No Class Value"/>
    <n v="213229"/>
  </r>
  <r>
    <x v="0"/>
    <x v="1"/>
    <s v="72664"/>
    <s v="00000 - No Class Value"/>
    <n v="5943"/>
  </r>
  <r>
    <x v="0"/>
    <x v="1"/>
    <s v="72675"/>
    <s v="00000 - No Class Value"/>
    <n v="613344"/>
  </r>
  <r>
    <x v="0"/>
    <x v="1"/>
    <s v="72678"/>
    <s v="00000 - No Class Value"/>
    <n v="98626"/>
  </r>
  <r>
    <x v="0"/>
    <x v="1"/>
    <s v="72679"/>
    <s v="00000 - No Class Value"/>
    <n v="301535"/>
  </r>
  <r>
    <x v="0"/>
    <x v="1"/>
    <s v="72681"/>
    <s v="00000 - No Class Value"/>
    <n v="62276"/>
  </r>
  <r>
    <x v="0"/>
    <x v="1"/>
    <s v="75000"/>
    <s v="00000 - No Class Value"/>
    <n v="191212"/>
  </r>
  <r>
    <x v="0"/>
    <x v="1"/>
    <s v="96000"/>
    <s v="00000 - No Class Value"/>
    <n v="256307"/>
  </r>
  <r>
    <x v="0"/>
    <x v="2"/>
    <s v="34063"/>
    <s v="00000 - No Class Value"/>
    <n v="2154859"/>
  </r>
  <r>
    <x v="0"/>
    <x v="2"/>
    <s v="34063"/>
    <s v="C5150 - Production Services Funds"/>
    <n v="10706"/>
  </r>
  <r>
    <x v="0"/>
    <x v="2"/>
    <s v="34063"/>
    <s v="C5200 - Auxiliary CB"/>
    <n v="1064561"/>
  </r>
  <r>
    <x v="0"/>
    <x v="2"/>
    <s v="34063"/>
    <s v="C5210 - Network Auxiliary"/>
    <n v="52795"/>
  </r>
  <r>
    <x v="0"/>
    <x v="2"/>
    <s v="34063"/>
    <s v="C5211 - IT NETWORKS"/>
    <n v="220383"/>
  </r>
  <r>
    <x v="0"/>
    <x v="2"/>
    <s v="34063"/>
    <s v="C5212 - IT CLASSROOM TECH"/>
    <n v="271844"/>
  </r>
  <r>
    <x v="0"/>
    <x v="2"/>
    <s v="34063"/>
    <s v="C5213 - DIGITAL SIGNAGE"/>
    <n v="28117"/>
  </r>
  <r>
    <x v="0"/>
    <x v="2"/>
    <s v="34063"/>
    <s v="C5230 - Computer Bulk Buy"/>
    <n v="695432"/>
  </r>
  <r>
    <x v="0"/>
    <x v="2"/>
    <s v="34063"/>
    <s v="C5240 - MOU Specific AA"/>
    <n v="907824"/>
  </r>
  <r>
    <x v="0"/>
    <x v="3"/>
    <s v="69600"/>
    <s v="00000 - No Class Value"/>
    <n v="223156"/>
  </r>
  <r>
    <x v="0"/>
    <x v="3"/>
    <s v="69610"/>
    <s v="00000 - No Class Value"/>
    <n v="16278"/>
  </r>
  <r>
    <x v="0"/>
    <x v="3"/>
    <s v="69700"/>
    <s v="00000 - No Class Value"/>
    <n v="109072"/>
  </r>
  <r>
    <x v="0"/>
    <x v="3"/>
    <s v="69710"/>
    <s v="00000 - No Class Value"/>
    <n v="25943"/>
  </r>
  <r>
    <x v="0"/>
    <x v="3"/>
    <s v="69720"/>
    <s v="00000 - No Class Value"/>
    <n v="68166"/>
  </r>
  <r>
    <x v="0"/>
    <x v="3"/>
    <s v="69730"/>
    <s v="00000 - No Class Value"/>
    <n v="50332"/>
  </r>
  <r>
    <x v="0"/>
    <x v="3"/>
    <s v="69740"/>
    <s v="00000 - No Class Value"/>
    <n v="110797"/>
  </r>
  <r>
    <x v="0"/>
    <x v="3"/>
    <s v="74200"/>
    <s v="00000 - No Class Value"/>
    <n v="8287"/>
  </r>
  <r>
    <x v="0"/>
    <x v="4"/>
    <s v="63300"/>
    <s v="00000 - No Class Value"/>
    <n v="8193"/>
  </r>
  <r>
    <x v="0"/>
    <x v="4"/>
    <s v="73700"/>
    <s v="00000 - No Class Value"/>
    <n v="82964"/>
  </r>
  <r>
    <x v="0"/>
    <x v="5"/>
    <s v="61500"/>
    <s v="00000 - No Class Value"/>
    <n v="563893"/>
  </r>
  <r>
    <x v="0"/>
    <x v="5"/>
    <s v="62000"/>
    <s v="00000 - No Class Value"/>
    <n v="759"/>
  </r>
  <r>
    <x v="0"/>
    <x v="5"/>
    <s v="62600"/>
    <s v="C3371 - Disability Accommodations"/>
    <n v="6349"/>
  </r>
  <r>
    <x v="0"/>
    <x v="5"/>
    <s v="63000"/>
    <s v="00000 - No Class Value"/>
    <n v="9357"/>
  </r>
  <r>
    <x v="0"/>
    <x v="5"/>
    <s v="64200"/>
    <s v="00000 - No Class Value"/>
    <n v="21857"/>
  </r>
  <r>
    <x v="0"/>
    <x v="5"/>
    <s v="64800"/>
    <s v="00000 - No Class Value"/>
    <n v="2238"/>
  </r>
  <r>
    <x v="0"/>
    <x v="5"/>
    <s v="65400"/>
    <s v="00000 - No Class Value"/>
    <n v="1756"/>
  </r>
  <r>
    <x v="0"/>
    <x v="6"/>
    <s v="74300"/>
    <s v="00000 - No Class Value"/>
    <n v="108611"/>
  </r>
  <r>
    <x v="0"/>
    <x v="7"/>
    <s v="68900"/>
    <s v="00000 - No Class Value"/>
    <n v="13235"/>
  </r>
  <r>
    <x v="0"/>
    <x v="7"/>
    <s v="99706"/>
    <s v="00000 - No Class Value"/>
    <n v="82747"/>
  </r>
  <r>
    <x v="1"/>
    <x v="0"/>
    <s v="20700"/>
    <s v="00000 - No Class Value"/>
    <n v="5529"/>
  </r>
  <r>
    <x v="1"/>
    <x v="0"/>
    <s v="21300"/>
    <s v="00000 - No Class Value"/>
    <n v="180"/>
  </r>
  <r>
    <x v="1"/>
    <x v="0"/>
    <s v="22700"/>
    <s v="00000 - No Class Value"/>
    <n v="13435"/>
  </r>
  <r>
    <x v="1"/>
    <x v="0"/>
    <s v="22761"/>
    <s v="00000 - No Class Value"/>
    <n v="369"/>
  </r>
  <r>
    <x v="1"/>
    <x v="0"/>
    <s v="22900"/>
    <s v="00000 - No Class Value"/>
    <n v="26203"/>
  </r>
  <r>
    <x v="1"/>
    <x v="0"/>
    <s v="23100"/>
    <s v="00000 - No Class Value"/>
    <n v="1350"/>
  </r>
  <r>
    <x v="1"/>
    <x v="0"/>
    <s v="41200"/>
    <s v="00000 - No Class Value"/>
    <n v="54000"/>
  </r>
  <r>
    <x v="1"/>
    <x v="0"/>
    <s v="44500"/>
    <s v="00000 - No Class Value"/>
    <n v="49500"/>
  </r>
  <r>
    <x v="1"/>
    <x v="0"/>
    <s v="44700"/>
    <s v="00000 - No Class Value"/>
    <n v="1800"/>
  </r>
  <r>
    <x v="1"/>
    <x v="0"/>
    <s v="48700"/>
    <s v="00000 - No Class Value"/>
    <n v="46932"/>
  </r>
  <r>
    <x v="1"/>
    <x v="0"/>
    <s v="49801"/>
    <s v="00000 - No Class Value"/>
    <n v="60101"/>
  </r>
  <r>
    <x v="1"/>
    <x v="0"/>
    <s v="49900"/>
    <s v="00000 - No Class Value"/>
    <n v="17941"/>
  </r>
  <r>
    <x v="1"/>
    <x v="0"/>
    <s v="50200"/>
    <s v="00000 - No Class Value"/>
    <n v="32820"/>
  </r>
  <r>
    <x v="1"/>
    <x v="0"/>
    <s v="50300"/>
    <s v="00000 - No Class Value"/>
    <n v="37893"/>
  </r>
  <r>
    <x v="1"/>
    <x v="0"/>
    <s v="51000"/>
    <s v="C3400 - MSTI-STEM Challenge"/>
    <n v="22500"/>
  </r>
  <r>
    <x v="1"/>
    <x v="0"/>
    <s v="55800"/>
    <s v="00000 - No Class Value"/>
    <n v="21649"/>
  </r>
  <r>
    <x v="1"/>
    <x v="0"/>
    <s v="55800"/>
    <s v="C3188 - I-POLY Lease"/>
    <n v="9753"/>
  </r>
  <r>
    <x v="1"/>
    <x v="0"/>
    <s v="63800"/>
    <s v="00000 - No Class Value"/>
    <n v="3724"/>
  </r>
  <r>
    <x v="1"/>
    <x v="2"/>
    <s v="34063"/>
    <s v="00000 - No Class Value"/>
    <n v="15991"/>
  </r>
  <r>
    <x v="1"/>
    <x v="2"/>
    <s v="34063"/>
    <s v="C5200 - Auxiliary CB"/>
    <n v="662775"/>
  </r>
  <r>
    <x v="1"/>
    <x v="2"/>
    <s v="34063"/>
    <s v="C5210 - Network Auxiliary"/>
    <n v="1794"/>
  </r>
  <r>
    <x v="1"/>
    <x v="3"/>
    <s v="73750"/>
    <s v="00000 - No Class Value"/>
    <n v="450"/>
  </r>
  <r>
    <x v="1"/>
    <x v="3"/>
    <s v="73750"/>
    <s v="C3461 - CalNAGPRA"/>
    <n v="450"/>
  </r>
  <r>
    <x v="1"/>
    <x v="3"/>
    <s v="74200"/>
    <s v="00000 - No Class Value"/>
    <n v="5985"/>
  </r>
  <r>
    <x v="1"/>
    <x v="4"/>
    <s v="63300"/>
    <s v="00000 - No Class Value"/>
    <n v="4209"/>
  </r>
  <r>
    <x v="1"/>
    <x v="5"/>
    <s v="61810"/>
    <s v="00000 - No Class Value"/>
    <n v="9749"/>
  </r>
  <r>
    <x v="1"/>
    <x v="5"/>
    <s v="61900"/>
    <s v="00000 - No Class Value"/>
    <n v="51327"/>
  </r>
  <r>
    <x v="1"/>
    <x v="5"/>
    <s v="62600"/>
    <s v="00000 - No Class Value"/>
    <n v="5472"/>
  </r>
  <r>
    <x v="1"/>
    <x v="5"/>
    <s v="63000"/>
    <s v="00000 - No Class Value"/>
    <n v="11016"/>
  </r>
  <r>
    <x v="1"/>
    <x v="6"/>
    <s v="74300"/>
    <s v="00000 - No Class Value"/>
    <n v="240149"/>
  </r>
  <r>
    <x v="1"/>
    <x v="6"/>
    <s v="74400"/>
    <s v="00000 - No Class Value"/>
    <n v="153096"/>
  </r>
  <r>
    <x v="1"/>
    <x v="6"/>
    <s v="74600"/>
    <s v="00000 - No Class Value"/>
    <n v="243573"/>
  </r>
  <r>
    <x v="1"/>
    <x v="6"/>
    <s v="74800"/>
    <s v="00000 - No Class Value"/>
    <n v="86198"/>
  </r>
  <r>
    <x v="2"/>
    <x v="0"/>
    <s v="20610"/>
    <s v="G0335 - STARS Project"/>
    <n v="31735"/>
  </r>
  <r>
    <x v="2"/>
    <x v="0"/>
    <s v="20610"/>
    <s v="G4165 - ENGAGE"/>
    <n v="27347"/>
  </r>
  <r>
    <x v="2"/>
    <x v="0"/>
    <s v="21600"/>
    <s v="G8670 - Project CAMINOS"/>
    <n v="23994"/>
  </r>
  <r>
    <x v="2"/>
    <x v="0"/>
    <s v="22301"/>
    <s v="G8895 - McNair Scholar Program"/>
    <n v="37111"/>
  </r>
  <r>
    <x v="2"/>
    <x v="0"/>
    <s v="22364"/>
    <s v="G1555 - NRCS CDP"/>
    <n v="2812"/>
  </r>
  <r>
    <x v="2"/>
    <x v="0"/>
    <s v="22364"/>
    <s v="G4325 - Grape Powder on Chronic Dis"/>
    <n v="22228"/>
  </r>
  <r>
    <x v="2"/>
    <x v="0"/>
    <s v="22364"/>
    <s v="G5025 - DEI Nutrition an d Dietetics"/>
    <n v="23437"/>
  </r>
  <r>
    <x v="2"/>
    <x v="0"/>
    <s v="29701"/>
    <s v="F0000 - Non-Grant Related"/>
    <n v="148124"/>
  </r>
  <r>
    <x v="2"/>
    <x v="0"/>
    <s v="29701"/>
    <s v="G4955 - Rights without Citizenship"/>
    <n v="71316"/>
  </r>
  <r>
    <x v="2"/>
    <x v="0"/>
    <s v="29701"/>
    <s v="G8895 - McNair Scholar Program"/>
    <n v="21377"/>
  </r>
  <r>
    <x v="2"/>
    <x v="0"/>
    <s v="41301"/>
    <s v="F0000 - Non-Grant Related"/>
    <n v="13435"/>
  </r>
  <r>
    <x v="2"/>
    <x v="0"/>
    <s v="44662"/>
    <s v="G0155 - Fndamantel Study Calcium Sulph"/>
    <n v="55648"/>
  </r>
  <r>
    <x v="2"/>
    <x v="0"/>
    <s v="44662"/>
    <s v="G0375 - CPP INVESTS"/>
    <n v="33993"/>
  </r>
  <r>
    <x v="2"/>
    <x v="0"/>
    <s v="44662"/>
    <s v="G4435 - Maternal Health Rsch Network"/>
    <n v="24891"/>
  </r>
  <r>
    <x v="2"/>
    <x v="0"/>
    <s v="44662"/>
    <s v="G4465 - Approaches Adv Maternal Health"/>
    <n v="16173"/>
  </r>
  <r>
    <x v="2"/>
    <x v="0"/>
    <s v="44662"/>
    <s v="G4485 - Ctr Under. Future Trvl Beh Dem"/>
    <n v="17357"/>
  </r>
  <r>
    <x v="2"/>
    <x v="0"/>
    <s v="44662"/>
    <s v="G4565 - SCALES"/>
    <n v="16116"/>
  </r>
  <r>
    <x v="2"/>
    <x v="0"/>
    <s v="44662"/>
    <s v="G4855 - Acquisition of Reconf HPC"/>
    <n v="18199"/>
  </r>
  <r>
    <x v="2"/>
    <x v="0"/>
    <s v="44662"/>
    <s v="G5265 - HD LaDar STTR"/>
    <n v="682"/>
  </r>
  <r>
    <x v="2"/>
    <x v="0"/>
    <s v="48301"/>
    <s v="F0000 - Non-Grant Related"/>
    <n v="14557"/>
  </r>
  <r>
    <x v="2"/>
    <x v="0"/>
    <s v="49801"/>
    <s v="F0000 - Non-Grant Related"/>
    <n v="40306"/>
  </r>
  <r>
    <x v="2"/>
    <x v="0"/>
    <s v="49801"/>
    <s v="G4995 - College Corp Californians"/>
    <n v="5478"/>
  </r>
  <r>
    <x v="2"/>
    <x v="0"/>
    <s v="49861"/>
    <s v="G0225 - NIH T32 Bridges"/>
    <n v="12479"/>
  </r>
  <r>
    <x v="2"/>
    <x v="0"/>
    <s v="49861"/>
    <s v="G1035 - COAST"/>
    <n v="3191"/>
  </r>
  <r>
    <x v="2"/>
    <x v="0"/>
    <s v="49861"/>
    <s v="G1145 - NIH-Molecular Mch Daple FLT3"/>
    <n v="19473"/>
  </r>
  <r>
    <x v="2"/>
    <x v="0"/>
    <s v="49861"/>
    <s v="G1965 - SuRE Program R16"/>
    <n v="19999"/>
  </r>
  <r>
    <x v="2"/>
    <x v="0"/>
    <s v="49861"/>
    <s v="G2045 - ARI-23-99-106"/>
    <n v="9202"/>
  </r>
  <r>
    <x v="2"/>
    <x v="0"/>
    <s v="49861"/>
    <s v="G4035 - NIH R15"/>
    <n v="9122"/>
  </r>
  <r>
    <x v="2"/>
    <x v="0"/>
    <s v="49861"/>
    <s v="G4515 - Consortium for Data Sciences"/>
    <n v="10895"/>
  </r>
  <r>
    <x v="2"/>
    <x v="0"/>
    <s v="49861"/>
    <s v="G4575 - Impr Upper Div Physics"/>
    <n v="22024"/>
  </r>
  <r>
    <x v="2"/>
    <x v="0"/>
    <s v="49861"/>
    <s v="G4635 - MARINe Monitoring"/>
    <n v="5965"/>
  </r>
  <r>
    <x v="2"/>
    <x v="0"/>
    <s v="49861"/>
    <s v="G4735 - Warriors for Big Data Security"/>
    <n v="17353"/>
  </r>
  <r>
    <x v="2"/>
    <x v="0"/>
    <s v="49861"/>
    <s v="G4775 - Reactive Oxygen Species"/>
    <n v="12338"/>
  </r>
  <r>
    <x v="2"/>
    <x v="0"/>
    <s v="49861"/>
    <s v="G5035 - CZI"/>
    <n v="11964"/>
  </r>
  <r>
    <x v="2"/>
    <x v="0"/>
    <s v="49861"/>
    <s v="G8900 - NSF RUI LONG TERM COA"/>
    <n v="14614"/>
  </r>
  <r>
    <x v="2"/>
    <x v="0"/>
    <s v="54200"/>
    <s v="F0000 - Non-Grant Related"/>
    <n v="21263"/>
  </r>
  <r>
    <x v="2"/>
    <x v="0"/>
    <s v="54369"/>
    <s v="G2065 - Wallace"/>
    <n v="30169"/>
  </r>
  <r>
    <x v="2"/>
    <x v="0"/>
    <s v="54369"/>
    <s v="G8680 - LOGRAR"/>
    <n v="105871"/>
  </r>
  <r>
    <x v="2"/>
    <x v="0"/>
    <s v="54400"/>
    <s v="G2005 - Intergrated Teacher Prep"/>
    <n v="20394"/>
  </r>
  <r>
    <x v="2"/>
    <x v="0"/>
    <s v="54600"/>
    <s v="F0000 - Non-Grant Related"/>
    <n v="10056"/>
  </r>
  <r>
    <x v="2"/>
    <x v="0"/>
    <s v="54600"/>
    <s v="G0235 - UP-LIFT"/>
    <n v="85853"/>
  </r>
  <r>
    <x v="2"/>
    <x v="0"/>
    <s v="54600"/>
    <s v="G4425 - Dr Seuss"/>
    <n v="24183"/>
  </r>
  <r>
    <x v="2"/>
    <x v="0"/>
    <s v="54900"/>
    <s v="F0000 - Non-Grant Related"/>
    <n v="24047"/>
  </r>
  <r>
    <x v="2"/>
    <x v="5"/>
    <s v="61810"/>
    <s v="G5485 - Vistendo Maxform Dev Study"/>
    <n v="9990"/>
  </r>
  <r>
    <x v="2"/>
    <x v="5"/>
    <s v="62600"/>
    <s v="G1220 - Arches Grant - Student Support"/>
    <n v="137823"/>
  </r>
  <r>
    <x v="2"/>
    <x v="5"/>
    <s v="64200"/>
    <s v="G8180 - Cal Fresh"/>
    <n v="28370"/>
  </r>
  <r>
    <x v="3"/>
    <x v="0"/>
    <s v="20000"/>
    <s v="TX115 - RENT OF FACILITIES-ACAD AFF"/>
    <n v="20597"/>
  </r>
  <r>
    <x v="3"/>
    <x v="0"/>
    <s v="30700"/>
    <s v="TX109 - RENT OF FACILITIES-MUSIC"/>
    <n v="2862"/>
  </r>
  <r>
    <x v="3"/>
    <x v="0"/>
    <s v="48300"/>
    <s v="TX115 - RENT OF FACILITIES-ACAD AFF"/>
    <n v="2539"/>
  </r>
  <r>
    <x v="3"/>
    <x v="1"/>
    <s v="72010"/>
    <s v="TX110 - LoF - Rental of Facilities"/>
    <n v="78920"/>
  </r>
  <r>
    <x v="3"/>
    <x v="1"/>
    <s v="72600"/>
    <s v="TX108 - RENT OF FACILITIES-PUBLIC SAFE"/>
    <n v="1370"/>
  </r>
  <r>
    <x v="3"/>
    <x v="1"/>
    <s v="73500"/>
    <s v="TX106 - RENT OF FACILITIES-PRKG SVCS"/>
    <n v="14604"/>
  </r>
  <r>
    <x v="3"/>
    <x v="5"/>
    <s v="61100"/>
    <s v="TX112 - RENT OF FACILITIES-ATHLETICS"/>
    <n v="13467"/>
  </r>
  <r>
    <x v="4"/>
    <x v="0"/>
    <s v="30200"/>
    <s v="TX107 - RENT OF FACILITIES-THEATRE"/>
    <n v="13105"/>
  </r>
  <r>
    <x v="5"/>
    <x v="1"/>
    <s v="72010"/>
    <s v="TX116 - FILMING AND PHOTO SHOOTS"/>
    <n v="12264"/>
  </r>
  <r>
    <x v="6"/>
    <x v="1"/>
    <s v="96264"/>
    <s v="00000 - No Class Value"/>
    <n v="27693"/>
  </r>
  <r>
    <x v="6"/>
    <x v="1"/>
    <s v="96264"/>
    <s v="C2201 - Lyle CRS Restoration Project"/>
    <n v="53822"/>
  </r>
  <r>
    <x v="6"/>
    <x v="1"/>
    <s v="96264"/>
    <s v="C2204 - CEOP Energy Grant"/>
    <n v="53772"/>
  </r>
  <r>
    <x v="6"/>
    <x v="1"/>
    <s v="96264"/>
    <s v="C2208 - Bldg 98T Tower Demolition"/>
    <n v="93260"/>
  </r>
  <r>
    <x v="6"/>
    <x v="1"/>
    <s v="96264"/>
    <s v="C2251 - Demo Bldgs 57,58,70 &amp; sites Im"/>
    <n v="261413"/>
  </r>
  <r>
    <x v="6"/>
    <x v="1"/>
    <s v="96264"/>
    <s v="C6642 - Sheep Unit Silo Replacement Pr"/>
    <n v="87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9">
  <r>
    <x v="0"/>
    <x v="0"/>
    <n v="16920"/>
    <s v="00000"/>
    <n v="45762"/>
  </r>
  <r>
    <x v="0"/>
    <x v="0"/>
    <n v="20100"/>
    <s v="00000"/>
    <n v="81857"/>
  </r>
  <r>
    <x v="0"/>
    <x v="0"/>
    <n v="20120"/>
    <s v="00000"/>
    <n v="17500"/>
  </r>
  <r>
    <x v="0"/>
    <x v="0"/>
    <n v="20400"/>
    <s v="00000"/>
    <n v="35000"/>
  </r>
  <r>
    <x v="0"/>
    <x v="0"/>
    <n v="22700"/>
    <s v="C3373"/>
    <n v="59598"/>
  </r>
  <r>
    <x v="0"/>
    <x v="0"/>
    <n v="22900"/>
    <s v="00000"/>
    <n v="35000"/>
  </r>
  <r>
    <x v="0"/>
    <x v="0"/>
    <n v="23000"/>
    <s v="00000"/>
    <n v="47754"/>
  </r>
  <r>
    <x v="0"/>
    <x v="0"/>
    <n v="23300"/>
    <s v="00000"/>
    <n v="93732"/>
  </r>
  <r>
    <x v="0"/>
    <x v="0"/>
    <n v="27400"/>
    <s v="00000"/>
    <n v="67836"/>
  </r>
  <r>
    <x v="0"/>
    <x v="0"/>
    <n v="29100"/>
    <s v="00000"/>
    <n v="17500"/>
  </r>
  <r>
    <x v="1"/>
    <x v="0"/>
    <n v="29720"/>
    <s v="00000"/>
    <n v="35000"/>
  </r>
  <r>
    <x v="0"/>
    <x v="0"/>
    <n v="30400"/>
    <s v="00000"/>
    <n v="114612"/>
  </r>
  <r>
    <x v="0"/>
    <x v="0"/>
    <n v="30600"/>
    <s v="00000"/>
    <n v="54480"/>
  </r>
  <r>
    <x v="0"/>
    <x v="0"/>
    <n v="31600"/>
    <s v="00000"/>
    <n v="45417"/>
  </r>
  <r>
    <x v="0"/>
    <x v="0"/>
    <n v="33000"/>
    <s v="00000"/>
    <n v="35000"/>
  </r>
  <r>
    <x v="2"/>
    <x v="0"/>
    <n v="34200"/>
    <s v="00000"/>
    <n v="35000"/>
  </r>
  <r>
    <x v="2"/>
    <x v="0"/>
    <n v="34710"/>
    <s v="00000"/>
    <n v="56082"/>
  </r>
  <r>
    <x v="2"/>
    <x v="0"/>
    <n v="34721"/>
    <s v="00000"/>
    <n v="35000"/>
  </r>
  <r>
    <x v="2"/>
    <x v="0"/>
    <n v="34730"/>
    <s v="00000"/>
    <n v="47598"/>
  </r>
  <r>
    <x v="2"/>
    <x v="0"/>
    <n v="34731"/>
    <s v="00000"/>
    <n v="54576"/>
  </r>
  <r>
    <x v="0"/>
    <x v="0"/>
    <n v="36200"/>
    <s v="00000"/>
    <n v="35000"/>
  </r>
  <r>
    <x v="0"/>
    <x v="0"/>
    <n v="41300"/>
    <s v="00000"/>
    <n v="35000"/>
  </r>
  <r>
    <x v="0"/>
    <x v="0"/>
    <n v="41400"/>
    <s v="C3373"/>
    <n v="46074"/>
  </r>
  <r>
    <x v="0"/>
    <x v="0"/>
    <n v="41600"/>
    <s v="00000"/>
    <n v="35000"/>
  </r>
  <r>
    <x v="0"/>
    <x v="0"/>
    <n v="41800"/>
    <s v="00000"/>
    <n v="35000"/>
  </r>
  <r>
    <x v="0"/>
    <x v="0"/>
    <n v="44800"/>
    <s v="00000"/>
    <n v="58284"/>
  </r>
  <r>
    <x v="0"/>
    <x v="0"/>
    <n v="44800"/>
    <s v="C3373"/>
    <n v="31436"/>
  </r>
  <r>
    <x v="0"/>
    <x v="0"/>
    <n v="44900"/>
    <s v="C3373"/>
    <n v="62082"/>
  </r>
  <r>
    <x v="0"/>
    <x v="0"/>
    <n v="45000"/>
    <s v="00000"/>
    <n v="101894"/>
  </r>
  <r>
    <x v="0"/>
    <x v="0"/>
    <n v="48800"/>
    <s v="00000"/>
    <n v="62082"/>
  </r>
  <r>
    <x v="0"/>
    <x v="0"/>
    <n v="49900"/>
    <s v="00000"/>
    <n v="44970"/>
  </r>
  <r>
    <x v="0"/>
    <x v="0"/>
    <n v="50000"/>
    <s v="00000"/>
    <n v="63732"/>
  </r>
  <r>
    <x v="0"/>
    <x v="0"/>
    <n v="50300"/>
    <s v="C3373"/>
    <n v="18354"/>
  </r>
  <r>
    <x v="0"/>
    <x v="0"/>
    <n v="50400"/>
    <s v="00000"/>
    <n v="35000"/>
  </r>
  <r>
    <x v="0"/>
    <x v="0"/>
    <n v="50700"/>
    <s v="00000"/>
    <n v="75000"/>
  </r>
  <r>
    <x v="0"/>
    <x v="0"/>
    <n v="51000"/>
    <s v="00000"/>
    <n v="35000"/>
  </r>
  <r>
    <x v="0"/>
    <x v="0"/>
    <n v="54500"/>
    <s v="00000"/>
    <n v="63224"/>
  </r>
  <r>
    <x v="1"/>
    <x v="0"/>
    <n v="59000"/>
    <s v="00000"/>
    <n v="150000"/>
  </r>
  <r>
    <x v="1"/>
    <x v="0"/>
    <n v="61800"/>
    <s v="00000"/>
    <n v="76124"/>
  </r>
  <r>
    <x v="1"/>
    <x v="0"/>
    <n v="61900"/>
    <s v="00000"/>
    <n v="80738"/>
  </r>
  <r>
    <x v="0"/>
    <x v="0"/>
    <n v="62100"/>
    <s v="00000"/>
    <n v="37026"/>
  </r>
  <r>
    <x v="0"/>
    <x v="0"/>
    <n v="62300"/>
    <s v="00000"/>
    <n v="71564"/>
  </r>
  <r>
    <x v="1"/>
    <x v="0"/>
    <n v="62600"/>
    <s v="00000"/>
    <n v="44952"/>
  </r>
  <r>
    <x v="0"/>
    <x v="0"/>
    <n v="63400"/>
    <s v="00000"/>
    <n v="52500"/>
  </r>
  <r>
    <x v="0"/>
    <x v="0"/>
    <n v="63600"/>
    <s v="00000"/>
    <n v="105000"/>
  </r>
  <r>
    <x v="0"/>
    <x v="0"/>
    <n v="63800"/>
    <s v="00000"/>
    <n v="35172"/>
  </r>
  <r>
    <x v="0"/>
    <x v="0"/>
    <n v="64100"/>
    <s v="00000"/>
    <n v="35000"/>
  </r>
  <r>
    <x v="1"/>
    <x v="0"/>
    <n v="64200"/>
    <s v="00000"/>
    <n v="37920"/>
  </r>
  <r>
    <x v="1"/>
    <x v="0"/>
    <n v="64700"/>
    <s v="00000"/>
    <n v="180234"/>
  </r>
  <r>
    <x v="1"/>
    <x v="0"/>
    <n v="64800"/>
    <s v="00000"/>
    <n v="122500"/>
  </r>
  <r>
    <x v="3"/>
    <x v="0"/>
    <n v="67700"/>
    <s v="00000"/>
    <n v="54558"/>
  </r>
  <r>
    <x v="3"/>
    <x v="0"/>
    <n v="67900"/>
    <s v="00000"/>
    <n v="35000"/>
  </r>
  <r>
    <x v="3"/>
    <x v="0"/>
    <n v="69100"/>
    <s v="00000"/>
    <n v="35000"/>
  </r>
  <r>
    <x v="4"/>
    <x v="0"/>
    <n v="69730"/>
    <s v="00000"/>
    <n v="35000"/>
  </r>
  <r>
    <x v="3"/>
    <x v="0"/>
    <n v="70700"/>
    <s v="00000"/>
    <n v="75000"/>
  </r>
  <r>
    <x v="3"/>
    <x v="0"/>
    <n v="70800"/>
    <s v="00000"/>
    <n v="40746"/>
  </r>
  <r>
    <x v="3"/>
    <x v="0"/>
    <n v="71100"/>
    <s v="00000"/>
    <n v="45306"/>
  </r>
  <r>
    <x v="3"/>
    <x v="0"/>
    <n v="71204"/>
    <s v="00000"/>
    <n v="45636"/>
  </r>
  <r>
    <x v="3"/>
    <x v="0"/>
    <n v="71400"/>
    <s v="00000"/>
    <n v="70000"/>
  </r>
  <r>
    <x v="3"/>
    <x v="0"/>
    <n v="71501"/>
    <s v="00000"/>
    <n v="37686"/>
  </r>
  <r>
    <x v="3"/>
    <x v="0"/>
    <n v="71504"/>
    <s v="00000"/>
    <n v="51852"/>
  </r>
  <r>
    <x v="3"/>
    <x v="0"/>
    <n v="72100"/>
    <s v="00000"/>
    <n v="35000"/>
  </r>
  <r>
    <x v="3"/>
    <x v="0"/>
    <n v="72400"/>
    <s v="00000"/>
    <n v="75000"/>
  </r>
  <r>
    <x v="3"/>
    <x v="0"/>
    <n v="72400"/>
    <s v="C3353"/>
    <n v="57042"/>
  </r>
  <r>
    <x v="3"/>
    <x v="0"/>
    <n v="72600"/>
    <s v="00000"/>
    <n v="187822"/>
  </r>
  <r>
    <x v="5"/>
    <x v="0"/>
    <n v="74310"/>
    <s v="00000"/>
    <n v="75000"/>
  </r>
  <r>
    <x v="5"/>
    <x v="0"/>
    <n v="74500"/>
    <s v="00000"/>
    <n v="44130"/>
  </r>
  <r>
    <x v="5"/>
    <x v="0"/>
    <n v="74600"/>
    <s v="00000"/>
    <n v="128172"/>
  </r>
  <r>
    <x v="5"/>
    <x v="0"/>
    <n v="74800"/>
    <s v="00000"/>
    <n v="111790"/>
  </r>
  <r>
    <x v="2"/>
    <x v="1"/>
    <n v="34742"/>
    <s v="C5240"/>
    <n v="38430"/>
  </r>
  <r>
    <x v="2"/>
    <x v="1"/>
    <n v="34742"/>
    <s v="C5240"/>
    <n v="2382.66"/>
  </r>
  <r>
    <x v="2"/>
    <x v="1"/>
    <n v="34742"/>
    <s v="C5240"/>
    <n v="557.24"/>
  </r>
  <r>
    <x v="3"/>
    <x v="1"/>
    <n v="67900"/>
    <s v="00000"/>
    <n v="35000"/>
  </r>
  <r>
    <x v="3"/>
    <x v="1"/>
    <n v="67900"/>
    <s v="00000"/>
    <n v="2170"/>
  </r>
  <r>
    <x v="3"/>
    <x v="1"/>
    <n v="67900"/>
    <s v="00000"/>
    <n v="507.5"/>
  </r>
  <r>
    <x v="3"/>
    <x v="1"/>
    <n v="70800"/>
    <s v="00000"/>
    <n v="39168"/>
  </r>
  <r>
    <x v="3"/>
    <x v="1"/>
    <n v="70800"/>
    <s v="00000"/>
    <n v="2428.42"/>
  </r>
  <r>
    <x v="3"/>
    <x v="1"/>
    <n v="70800"/>
    <s v="00000"/>
    <n v="567.94000000000005"/>
  </r>
  <r>
    <x v="3"/>
    <x v="1"/>
    <n v="71360"/>
    <s v="00000"/>
    <n v="35000"/>
  </r>
  <r>
    <x v="3"/>
    <x v="1"/>
    <n v="71360"/>
    <s v="00000"/>
    <n v="2170"/>
  </r>
  <r>
    <x v="3"/>
    <x v="1"/>
    <n v="71360"/>
    <s v="00000"/>
    <n v="507.5"/>
  </r>
  <r>
    <x v="5"/>
    <x v="2"/>
    <n v="74600"/>
    <s v="00000"/>
    <n v="60636"/>
  </r>
  <r>
    <x v="5"/>
    <x v="2"/>
    <n v="74600"/>
    <s v="00000"/>
    <n v="3759.43"/>
  </r>
  <r>
    <x v="5"/>
    <x v="2"/>
    <n v="74600"/>
    <s v="00000"/>
    <n v="879.22"/>
  </r>
  <r>
    <x v="3"/>
    <x v="3"/>
    <n v="63100"/>
    <s v="00000"/>
    <n v="35000"/>
  </r>
  <r>
    <x v="3"/>
    <x v="3"/>
    <n v="63100"/>
    <s v="00000"/>
    <n v="2170"/>
  </r>
  <r>
    <x v="3"/>
    <x v="3"/>
    <n v="63100"/>
    <s v="00000"/>
    <n v="507.5"/>
  </r>
  <r>
    <x v="3"/>
    <x v="4"/>
    <n v="73500"/>
    <s v="00000"/>
    <n v="17500"/>
  </r>
  <r>
    <x v="3"/>
    <x v="4"/>
    <n v="73500"/>
    <s v="00000"/>
    <n v="1085"/>
  </r>
  <r>
    <x v="3"/>
    <x v="4"/>
    <n v="73500"/>
    <s v="00000"/>
    <n v="253.75"/>
  </r>
  <r>
    <x v="3"/>
    <x v="5"/>
    <n v="67410"/>
    <s v="00000"/>
    <n v="53754"/>
  </r>
  <r>
    <x v="3"/>
    <x v="5"/>
    <n v="67410"/>
    <s v="00000"/>
    <n v="3332.75"/>
  </r>
  <r>
    <x v="3"/>
    <x v="5"/>
    <n v="67410"/>
    <s v="00000"/>
    <n v="779.43"/>
  </r>
  <r>
    <x v="0"/>
    <x v="6"/>
    <n v="54400"/>
    <s v="C3357"/>
    <n v="12096"/>
  </r>
  <r>
    <x v="0"/>
    <x v="6"/>
    <n v="54400"/>
    <s v="C3357"/>
    <n v="749.95"/>
  </r>
  <r>
    <x v="0"/>
    <x v="6"/>
    <n v="54400"/>
    <s v="C3357"/>
    <n v="175.39"/>
  </r>
  <r>
    <x v="1"/>
    <x v="7"/>
    <n v="19600"/>
    <s v="00000"/>
    <n v="140000"/>
  </r>
  <r>
    <x v="1"/>
    <x v="7"/>
    <n v="19600"/>
    <s v="00000"/>
    <n v="8680"/>
  </r>
  <r>
    <x v="1"/>
    <x v="7"/>
    <n v="19600"/>
    <s v="00000"/>
    <n v="20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8414CD-0D48-4793-A301-360E81F705C2}" name="PivotTable5" cacheId="1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A131:J139" firstHeaderRow="1" firstDataRow="2" firstDataCol="1"/>
  <pivotFields count="5">
    <pivotField axis="axisRow" showAll="0">
      <items count="8">
        <item x="4"/>
        <item x="0"/>
        <item x="3"/>
        <item m="1" x="6"/>
        <item x="2"/>
        <item x="1"/>
        <item x="5"/>
        <item t="default"/>
      </items>
    </pivotField>
    <pivotField axis="axisCol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showAll="0"/>
    <pivotField showAll="0"/>
    <pivotField dataField="1" numFmtId="43" showAll="0"/>
  </pivotFields>
  <rowFields count="1">
    <field x="0"/>
  </rowFields>
  <rowItems count="7">
    <i>
      <x/>
    </i>
    <i>
      <x v="1"/>
    </i>
    <i>
      <x v="2"/>
    </i>
    <i>
      <x v="4"/>
    </i>
    <i>
      <x v="5"/>
    </i>
    <i>
      <x v="6"/>
    </i>
    <i t="grand">
      <x/>
    </i>
  </rowItems>
  <colFields count="1">
    <field x="1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Sum of Amounts" fld="4" baseField="1" baseItem="0" numFmtId="39"/>
  </dataFields>
  <formats count="1">
    <format dxfId="0">
      <pivotArea dataOnly="0" labelOnly="1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359ADB-CFD4-4931-8527-70A7C3326FEA}" name="PivotTable6" cacheId="0" applyNumberFormats="0" applyBorderFormats="0" applyFontFormats="0" applyPatternFormats="0" applyAlignmentFormats="0" applyWidthHeightFormats="1" dataCaption="Values" updatedVersion="8" minRefreshableVersion="3" itemPrintTitles="1" createdVersion="8" indent="0" outline="1" outlineData="1" multipleFieldFilters="0">
  <location ref="A224:I234" firstHeaderRow="1" firstDataRow="2" firstDataCol="1"/>
  <pivotFields count="5"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axis="axisRow" showAll="0">
      <items count="9">
        <item x="4"/>
        <item x="3"/>
        <item x="0"/>
        <item x="1"/>
        <item x="2"/>
        <item x="5"/>
        <item x="6"/>
        <item x="7"/>
        <item t="default"/>
      </items>
    </pivotField>
    <pivotField showAll="0"/>
    <pivotField showAll="0"/>
    <pivotField dataField="1" numFmtId="43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Sum of Est. Budget" fld="4" baseField="1" baseItem="6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2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4674B-65B6-4F53-B6E4-6015E7667324}">
  <sheetPr>
    <tabColor rgb="FFFFC000"/>
    <pageSetUpPr fitToPage="1"/>
  </sheetPr>
  <dimension ref="A1:L40"/>
  <sheetViews>
    <sheetView workbookViewId="0">
      <selection activeCell="N12" sqref="N12"/>
    </sheetView>
  </sheetViews>
  <sheetFormatPr defaultColWidth="8.85546875" defaultRowHeight="15" x14ac:dyDescent="0.25"/>
  <cols>
    <col min="1" max="1" width="25.28515625" style="2" customWidth="1"/>
    <col min="2" max="2" width="13.85546875" style="1" customWidth="1"/>
    <col min="3" max="3" width="13" style="1" customWidth="1"/>
    <col min="4" max="4" width="15" style="1" customWidth="1"/>
    <col min="5" max="5" width="13.28515625" style="1" hidden="1" customWidth="1"/>
    <col min="6" max="6" width="14.140625" style="1" hidden="1" customWidth="1"/>
    <col min="7" max="7" width="14.5703125" style="1" customWidth="1"/>
    <col min="8" max="8" width="14.140625" style="1" customWidth="1"/>
    <col min="9" max="9" width="14.42578125" style="1" customWidth="1"/>
    <col min="10" max="10" width="17.5703125" style="1" customWidth="1"/>
    <col min="11" max="11" width="14.28515625" style="2" customWidth="1"/>
    <col min="12" max="12" width="11" style="2" bestFit="1" customWidth="1"/>
    <col min="13" max="13" width="22.85546875" style="2" bestFit="1" customWidth="1"/>
    <col min="14" max="15" width="19.42578125" style="2" customWidth="1"/>
    <col min="16" max="16" width="31.85546875" style="2" customWidth="1"/>
    <col min="17" max="16384" width="8.85546875" style="2"/>
  </cols>
  <sheetData>
    <row r="1" spans="1:12" ht="25.9" customHeight="1" x14ac:dyDescent="0.4">
      <c r="A1" s="3"/>
      <c r="G1" s="26"/>
      <c r="H1" s="26"/>
      <c r="I1" s="26"/>
      <c r="J1" s="26"/>
      <c r="L1" s="27"/>
    </row>
    <row r="2" spans="1:12" ht="25.9" customHeight="1" x14ac:dyDescent="0.3">
      <c r="A2" s="3"/>
      <c r="G2" s="6"/>
      <c r="H2" s="6"/>
      <c r="I2" s="6"/>
      <c r="J2" s="6"/>
      <c r="K2" s="28"/>
      <c r="L2" s="28"/>
    </row>
    <row r="3" spans="1:12" ht="18.75" customHeight="1" x14ac:dyDescent="0.3">
      <c r="A3" s="3" t="s">
        <v>0</v>
      </c>
      <c r="H3" s="6"/>
      <c r="I3" s="6" t="s">
        <v>1</v>
      </c>
      <c r="L3" s="28"/>
    </row>
    <row r="4" spans="1:12" ht="20.100000000000001" customHeight="1" x14ac:dyDescent="0.3">
      <c r="A4" s="17">
        <v>45881</v>
      </c>
      <c r="K4" s="29"/>
      <c r="L4" s="29"/>
    </row>
    <row r="5" spans="1:12" x14ac:dyDescent="0.25">
      <c r="B5" s="163" t="s">
        <v>2</v>
      </c>
      <c r="C5" s="164"/>
      <c r="D5" s="165"/>
      <c r="E5" s="160" t="s">
        <v>3</v>
      </c>
      <c r="F5" s="161"/>
      <c r="G5" s="162"/>
      <c r="H5" s="47" t="s">
        <v>4</v>
      </c>
      <c r="I5" s="47" t="s">
        <v>5</v>
      </c>
      <c r="J5" s="2"/>
    </row>
    <row r="6" spans="1:12" x14ac:dyDescent="0.25">
      <c r="B6" s="166" t="s">
        <v>6</v>
      </c>
      <c r="C6" s="167"/>
      <c r="D6" s="168"/>
      <c r="E6" s="45"/>
      <c r="F6" s="46" t="s">
        <v>6</v>
      </c>
      <c r="G6" s="48" t="s">
        <v>6</v>
      </c>
      <c r="H6" s="48" t="s">
        <v>6</v>
      </c>
      <c r="I6" s="48" t="s">
        <v>7</v>
      </c>
      <c r="J6" s="2"/>
    </row>
    <row r="7" spans="1:12" x14ac:dyDescent="0.25">
      <c r="B7" s="1">
        <v>-1</v>
      </c>
      <c r="C7" s="1">
        <v>-2</v>
      </c>
      <c r="D7" s="30"/>
      <c r="E7" s="83"/>
      <c r="F7" s="36"/>
      <c r="G7" s="135"/>
      <c r="H7" s="57"/>
      <c r="I7" s="37"/>
      <c r="J7" s="2"/>
    </row>
    <row r="8" spans="1:12" ht="49.15" customHeight="1" thickBot="1" x14ac:dyDescent="0.3">
      <c r="A8" s="4"/>
      <c r="B8" s="5" t="s">
        <v>8</v>
      </c>
      <c r="C8" s="5" t="s">
        <v>9</v>
      </c>
      <c r="D8" s="31" t="s">
        <v>10</v>
      </c>
      <c r="E8" s="50" t="s">
        <v>11</v>
      </c>
      <c r="F8" s="44" t="s">
        <v>12</v>
      </c>
      <c r="G8" s="136" t="s">
        <v>13</v>
      </c>
      <c r="H8" s="41" t="s">
        <v>14</v>
      </c>
      <c r="I8" s="41" t="s">
        <v>7</v>
      </c>
      <c r="J8" s="2"/>
    </row>
    <row r="9" spans="1:12" ht="19.149999999999999" customHeight="1" x14ac:dyDescent="0.25">
      <c r="A9" s="14"/>
      <c r="B9" s="14"/>
      <c r="C9" s="14"/>
      <c r="D9" s="42"/>
      <c r="E9" s="127"/>
      <c r="F9" s="128"/>
      <c r="G9" s="38" t="s">
        <v>15</v>
      </c>
      <c r="H9" s="38" t="s">
        <v>16</v>
      </c>
      <c r="I9" s="38"/>
      <c r="J9" s="2"/>
    </row>
    <row r="10" spans="1:12" ht="17.45" customHeight="1" x14ac:dyDescent="0.25">
      <c r="A10" s="25" t="s">
        <v>17</v>
      </c>
      <c r="B10" s="7">
        <v>9927617</v>
      </c>
      <c r="C10" s="7">
        <v>670311</v>
      </c>
      <c r="D10" s="43">
        <f t="shared" ref="D10:D15" si="0">SUM(B10:C10)</f>
        <v>10597928</v>
      </c>
      <c r="E10" s="129">
        <v>101311</v>
      </c>
      <c r="F10" s="130">
        <f>+'Attachment B - Desig Base'!C9</f>
        <v>0</v>
      </c>
      <c r="G10" s="52">
        <f>SUM(E10:F10)</f>
        <v>101311</v>
      </c>
      <c r="H10" s="52">
        <f>+'Attachment C - Fees Base'!I9</f>
        <v>0</v>
      </c>
      <c r="I10" s="52">
        <f>+D10+G10+H10</f>
        <v>10699239</v>
      </c>
      <c r="J10" s="2"/>
    </row>
    <row r="11" spans="1:12" ht="17.45" customHeight="1" x14ac:dyDescent="0.25">
      <c r="A11" s="25" t="s">
        <v>18</v>
      </c>
      <c r="B11" s="7">
        <v>123625440</v>
      </c>
      <c r="C11" s="7">
        <v>5190001</v>
      </c>
      <c r="D11" s="43">
        <f t="shared" si="0"/>
        <v>128815441</v>
      </c>
      <c r="E11" s="129">
        <v>15147974</v>
      </c>
      <c r="F11" s="130">
        <f>+'Attachment B - Desig Base'!C10</f>
        <v>0</v>
      </c>
      <c r="G11" s="52">
        <f t="shared" ref="G11:G18" si="1">SUM(E11:F11)</f>
        <v>15147974</v>
      </c>
      <c r="H11" s="52">
        <f>+'Attachment C - Fees Base'!I10</f>
        <v>6873880</v>
      </c>
      <c r="I11" s="52">
        <f t="shared" ref="I11:I18" si="2">+D11+G11+H11</f>
        <v>150837295</v>
      </c>
      <c r="J11" s="2"/>
    </row>
    <row r="12" spans="1:12" ht="17.45" customHeight="1" x14ac:dyDescent="0.25">
      <c r="A12" s="25" t="s">
        <v>19</v>
      </c>
      <c r="B12" s="7">
        <v>22009625</v>
      </c>
      <c r="C12" s="7">
        <v>217178</v>
      </c>
      <c r="D12" s="43">
        <f t="shared" si="0"/>
        <v>22226803</v>
      </c>
      <c r="E12" s="129">
        <v>0</v>
      </c>
      <c r="F12" s="130">
        <f>+'Attachment B - Desig Base'!C11</f>
        <v>0</v>
      </c>
      <c r="G12" s="52">
        <f t="shared" si="1"/>
        <v>0</v>
      </c>
      <c r="H12" s="52">
        <f>+'Attachment C - Fees Base'!I11</f>
        <v>2722</v>
      </c>
      <c r="I12" s="52">
        <f t="shared" si="2"/>
        <v>22229525</v>
      </c>
      <c r="J12" s="2"/>
    </row>
    <row r="13" spans="1:12" ht="17.45" customHeight="1" x14ac:dyDescent="0.25">
      <c r="A13" s="25" t="s">
        <v>20</v>
      </c>
      <c r="B13" s="7">
        <v>13145910</v>
      </c>
      <c r="C13" s="7">
        <v>822265</v>
      </c>
      <c r="D13" s="43">
        <f t="shared" si="0"/>
        <v>13968175</v>
      </c>
      <c r="E13" s="129">
        <v>112304</v>
      </c>
      <c r="F13" s="130">
        <f>+'Attachment B - Desig Base'!C12</f>
        <v>0</v>
      </c>
      <c r="G13" s="52">
        <f t="shared" si="1"/>
        <v>112304</v>
      </c>
      <c r="H13" s="52">
        <f>+'Attachment C - Fees Base'!I12</f>
        <v>3149275</v>
      </c>
      <c r="I13" s="52">
        <f t="shared" si="2"/>
        <v>17229754</v>
      </c>
      <c r="J13" s="2"/>
    </row>
    <row r="14" spans="1:12" ht="17.45" customHeight="1" x14ac:dyDescent="0.25">
      <c r="A14" s="25" t="s">
        <v>21</v>
      </c>
      <c r="B14" s="7">
        <v>8167535</v>
      </c>
      <c r="C14" s="7">
        <v>126589</v>
      </c>
      <c r="D14" s="43">
        <f t="shared" si="0"/>
        <v>8294124</v>
      </c>
      <c r="E14" s="129">
        <v>4873714</v>
      </c>
      <c r="F14" s="130"/>
      <c r="G14" s="52">
        <f t="shared" si="1"/>
        <v>4873714</v>
      </c>
      <c r="H14" s="52">
        <f>+'Attachment C - Fees Base'!I13</f>
        <v>13304230</v>
      </c>
      <c r="I14" s="52">
        <f t="shared" si="2"/>
        <v>26472068</v>
      </c>
      <c r="J14" s="2"/>
    </row>
    <row r="15" spans="1:12" ht="17.45" customHeight="1" x14ac:dyDescent="0.25">
      <c r="A15" s="25" t="s">
        <v>22</v>
      </c>
      <c r="B15" s="7">
        <v>4761660</v>
      </c>
      <c r="C15" s="7">
        <v>52477</v>
      </c>
      <c r="D15" s="43">
        <f t="shared" si="0"/>
        <v>4814137</v>
      </c>
      <c r="E15" s="129">
        <v>0</v>
      </c>
      <c r="F15" s="130">
        <f>+'Attachment B - Desig Base'!C14</f>
        <v>0</v>
      </c>
      <c r="G15" s="52">
        <f t="shared" si="1"/>
        <v>0</v>
      </c>
      <c r="H15" s="52">
        <f>+'Attachment C - Fees Base'!I14</f>
        <v>645180</v>
      </c>
      <c r="I15" s="52">
        <f t="shared" si="2"/>
        <v>5459317</v>
      </c>
      <c r="J15" s="2"/>
    </row>
    <row r="16" spans="1:12" ht="17.45" customHeight="1" x14ac:dyDescent="0.25">
      <c r="A16" s="53" t="s">
        <v>23</v>
      </c>
      <c r="B16" s="8">
        <f t="shared" ref="B16:G16" si="3">SUM(B10:B15)</f>
        <v>181637787</v>
      </c>
      <c r="C16" s="8">
        <f t="shared" si="3"/>
        <v>7078821</v>
      </c>
      <c r="D16" s="39">
        <f t="shared" si="3"/>
        <v>188716608</v>
      </c>
      <c r="E16" s="131">
        <f t="shared" si="3"/>
        <v>20235303</v>
      </c>
      <c r="F16" s="8">
        <f t="shared" si="3"/>
        <v>0</v>
      </c>
      <c r="G16" s="39">
        <f t="shared" si="3"/>
        <v>20235303</v>
      </c>
      <c r="H16" s="39">
        <f t="shared" ref="H16" si="4">SUM(H10:H15)</f>
        <v>23975287</v>
      </c>
      <c r="I16" s="39">
        <f>SUM(I10:I15)</f>
        <v>232927198</v>
      </c>
      <c r="J16" s="2"/>
    </row>
    <row r="17" spans="1:10" ht="17.45" customHeight="1" x14ac:dyDescent="0.25">
      <c r="A17" s="25" t="s">
        <v>24</v>
      </c>
      <c r="B17" s="126">
        <v>40435409</v>
      </c>
      <c r="C17" s="126">
        <v>11985000</v>
      </c>
      <c r="D17" s="54">
        <f>SUM(B17:C17)</f>
        <v>52420409</v>
      </c>
      <c r="E17" s="132">
        <f>+'Attachment B - Desig Base'!B16</f>
        <v>0</v>
      </c>
      <c r="F17" s="133">
        <f>+'Attachment B - Desig Base'!C16</f>
        <v>0</v>
      </c>
      <c r="G17" s="52">
        <f t="shared" si="1"/>
        <v>0</v>
      </c>
      <c r="H17" s="52">
        <f>+'Attachment C - Fees Base'!I16</f>
        <v>408588</v>
      </c>
      <c r="I17" s="52">
        <f t="shared" si="2"/>
        <v>52828997</v>
      </c>
      <c r="J17" s="2"/>
    </row>
    <row r="18" spans="1:10" ht="17.45" customHeight="1" x14ac:dyDescent="0.25">
      <c r="A18" s="25" t="s">
        <v>25</v>
      </c>
      <c r="B18" s="7">
        <v>124495451</v>
      </c>
      <c r="C18" s="7">
        <f>1853838+376639958-360407485+363894-7078821</f>
        <v>11371384</v>
      </c>
      <c r="D18" s="43">
        <f>SUM(B18:C18)</f>
        <v>135866835</v>
      </c>
      <c r="E18" s="129">
        <f>+'Attachment B - Desig Base'!B17</f>
        <v>7979497</v>
      </c>
      <c r="F18" s="133">
        <f>+'Attachment B - Desig Base'!C17</f>
        <v>0</v>
      </c>
      <c r="G18" s="52">
        <f t="shared" si="1"/>
        <v>7979497</v>
      </c>
      <c r="H18" s="52">
        <f>+'Attachment C - Fees Base'!I17</f>
        <v>28875</v>
      </c>
      <c r="I18" s="52">
        <f t="shared" si="2"/>
        <v>143875207</v>
      </c>
      <c r="J18" s="33"/>
    </row>
    <row r="19" spans="1:10" ht="18" customHeight="1" thickBot="1" x14ac:dyDescent="0.3">
      <c r="A19" s="55" t="s">
        <v>26</v>
      </c>
      <c r="B19" s="11">
        <f>SUM(B16:B18)</f>
        <v>346568647</v>
      </c>
      <c r="C19" s="11">
        <f>SUM(C16:C18)</f>
        <v>30435205</v>
      </c>
      <c r="D19" s="40">
        <f t="shared" ref="D19" si="5">SUM(D16:D18)</f>
        <v>377003852</v>
      </c>
      <c r="E19" s="134">
        <f t="shared" ref="E19:H19" si="6">SUM(E16:E18)</f>
        <v>28214800</v>
      </c>
      <c r="F19" s="11">
        <f t="shared" si="6"/>
        <v>0</v>
      </c>
      <c r="G19" s="40">
        <f t="shared" si="6"/>
        <v>28214800</v>
      </c>
      <c r="H19" s="40">
        <f t="shared" si="6"/>
        <v>24412750</v>
      </c>
      <c r="I19" s="40">
        <f t="shared" ref="I19" si="7">SUM(I16:I18)</f>
        <v>429631402</v>
      </c>
      <c r="J19" s="2"/>
    </row>
    <row r="20" spans="1:10" x14ac:dyDescent="0.25">
      <c r="A20" s="35"/>
    </row>
    <row r="21" spans="1:10" x14ac:dyDescent="0.25">
      <c r="A21" s="2" t="s">
        <v>27</v>
      </c>
    </row>
    <row r="22" spans="1:10" x14ac:dyDescent="0.25">
      <c r="A22" s="2" t="s">
        <v>28</v>
      </c>
    </row>
    <row r="23" spans="1:10" x14ac:dyDescent="0.25">
      <c r="A23" s="96" t="s">
        <v>29</v>
      </c>
    </row>
    <row r="24" spans="1:10" x14ac:dyDescent="0.25">
      <c r="A24" s="2" t="s">
        <v>30</v>
      </c>
    </row>
    <row r="25" spans="1:10" x14ac:dyDescent="0.25">
      <c r="A25" s="2" t="s">
        <v>31</v>
      </c>
    </row>
    <row r="26" spans="1:10" x14ac:dyDescent="0.25">
      <c r="F26" s="18"/>
    </row>
    <row r="27" spans="1:10" x14ac:dyDescent="0.25">
      <c r="F27" s="18"/>
    </row>
    <row r="28" spans="1:10" x14ac:dyDescent="0.25">
      <c r="F28" s="18"/>
    </row>
    <row r="39" ht="13.9" customHeight="1" x14ac:dyDescent="0.25"/>
    <row r="40" ht="13.9" customHeight="1" x14ac:dyDescent="0.25"/>
  </sheetData>
  <mergeCells count="3">
    <mergeCell ref="E5:G5"/>
    <mergeCell ref="B5:D5"/>
    <mergeCell ref="B6:D6"/>
  </mergeCells>
  <printOptions horizontalCentered="1"/>
  <pageMargins left="0.5" right="0.5" top="0.5" bottom="0.5" header="0.3" footer="0.3"/>
  <pageSetup scale="99" orientation="landscape" r:id="rId1"/>
  <headerFooter>
    <oddFooter>&amp;L&amp;8&amp;D&amp;C&amp;8&amp;P&amp;R&amp;8&amp;A</oddFooter>
  </headerFooter>
  <ignoredErrors>
    <ignoredError sqref="D16 G16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3F194-11A9-4D03-9E8F-89ABF1B25B7F}">
  <sheetPr>
    <tabColor theme="9"/>
    <pageSetUpPr fitToPage="1"/>
  </sheetPr>
  <dimension ref="A1:E19"/>
  <sheetViews>
    <sheetView workbookViewId="0">
      <selection activeCell="N12" sqref="N12"/>
    </sheetView>
  </sheetViews>
  <sheetFormatPr defaultColWidth="8.85546875" defaultRowHeight="15" x14ac:dyDescent="0.25"/>
  <cols>
    <col min="1" max="1" width="29.28515625" style="2" customWidth="1"/>
    <col min="2" max="3" width="12.28515625" style="1" customWidth="1"/>
    <col min="4" max="4" width="13.42578125" style="1" customWidth="1"/>
    <col min="5" max="5" width="13.7109375" style="1" customWidth="1"/>
    <col min="6" max="17" width="14" style="2" customWidth="1"/>
    <col min="18" max="16384" width="8.85546875" style="2"/>
  </cols>
  <sheetData>
    <row r="1" spans="1:5" ht="25.9" customHeight="1" x14ac:dyDescent="0.4">
      <c r="A1" s="3"/>
      <c r="E1" s="26"/>
    </row>
    <row r="2" spans="1:5" ht="25.9" customHeight="1" x14ac:dyDescent="0.3">
      <c r="A2" s="3"/>
    </row>
    <row r="3" spans="1:5" ht="18.75" customHeight="1" x14ac:dyDescent="0.3">
      <c r="A3" s="3" t="s">
        <v>362</v>
      </c>
      <c r="E3" s="6" t="str">
        <f>+'Attachment A - Base'!I3</f>
        <v>BPA #25-01</v>
      </c>
    </row>
    <row r="4" spans="1:5" ht="20.100000000000001" customHeight="1" x14ac:dyDescent="0.25">
      <c r="A4" s="17">
        <f>+'Attachment A - Base'!A4</f>
        <v>45881</v>
      </c>
    </row>
    <row r="5" spans="1:5" x14ac:dyDescent="0.25">
      <c r="B5" s="76"/>
      <c r="C5" s="76"/>
      <c r="D5" s="76"/>
      <c r="E5" s="76"/>
    </row>
    <row r="6" spans="1:5" x14ac:dyDescent="0.25">
      <c r="D6" s="1">
        <v>-1</v>
      </c>
      <c r="E6" s="19"/>
    </row>
    <row r="7" spans="1:5" ht="60.75" thickBot="1" x14ac:dyDescent="0.3">
      <c r="A7" s="4"/>
      <c r="B7" s="5" t="s">
        <v>363</v>
      </c>
      <c r="C7" s="5" t="s">
        <v>364</v>
      </c>
      <c r="D7" s="5" t="s">
        <v>365</v>
      </c>
      <c r="E7" s="20" t="s">
        <v>277</v>
      </c>
    </row>
    <row r="8" spans="1:5" ht="19.149999999999999" customHeight="1" x14ac:dyDescent="0.25">
      <c r="A8" s="14"/>
      <c r="B8" s="16"/>
      <c r="C8" s="16"/>
      <c r="D8" s="16"/>
      <c r="E8" s="21"/>
    </row>
    <row r="9" spans="1:5" ht="19.149999999999999" customHeight="1" x14ac:dyDescent="0.25">
      <c r="A9" s="2" t="s">
        <v>17</v>
      </c>
      <c r="B9" s="7"/>
      <c r="C9" s="7"/>
      <c r="D9" s="7">
        <v>199</v>
      </c>
      <c r="E9" s="22">
        <f t="shared" ref="E9:E14" si="0">SUM(B9:D9)</f>
        <v>199</v>
      </c>
    </row>
    <row r="10" spans="1:5" ht="19.149999999999999" customHeight="1" x14ac:dyDescent="0.25">
      <c r="A10" s="2" t="s">
        <v>18</v>
      </c>
      <c r="B10" s="7">
        <v>39484</v>
      </c>
      <c r="C10" s="7">
        <v>5012</v>
      </c>
      <c r="D10" s="7">
        <v>603476</v>
      </c>
      <c r="E10" s="22">
        <f t="shared" si="0"/>
        <v>647972</v>
      </c>
    </row>
    <row r="11" spans="1:5" ht="19.149999999999999" customHeight="1" x14ac:dyDescent="0.25">
      <c r="A11" s="2" t="s">
        <v>19</v>
      </c>
      <c r="B11" s="7"/>
      <c r="C11" s="7"/>
      <c r="D11" s="7"/>
      <c r="E11" s="22">
        <f t="shared" si="0"/>
        <v>0</v>
      </c>
    </row>
    <row r="12" spans="1:5" ht="19.149999999999999" customHeight="1" x14ac:dyDescent="0.25">
      <c r="A12" s="2" t="s">
        <v>20</v>
      </c>
      <c r="B12" s="7"/>
      <c r="C12" s="7"/>
      <c r="D12" s="7">
        <v>440044</v>
      </c>
      <c r="E12" s="22">
        <f t="shared" si="0"/>
        <v>440044</v>
      </c>
    </row>
    <row r="13" spans="1:5" ht="19.149999999999999" customHeight="1" x14ac:dyDescent="0.25">
      <c r="A13" s="2" t="s">
        <v>21</v>
      </c>
      <c r="B13" s="7"/>
      <c r="C13" s="7"/>
      <c r="D13" s="7"/>
      <c r="E13" s="22">
        <f t="shared" si="0"/>
        <v>0</v>
      </c>
    </row>
    <row r="14" spans="1:5" ht="19.149999999999999" customHeight="1" x14ac:dyDescent="0.25">
      <c r="A14" s="2" t="s">
        <v>22</v>
      </c>
      <c r="B14" s="7"/>
      <c r="C14" s="7"/>
      <c r="D14" s="7"/>
      <c r="E14" s="22">
        <f t="shared" si="0"/>
        <v>0</v>
      </c>
    </row>
    <row r="15" spans="1:5" ht="19.149999999999999" customHeight="1" x14ac:dyDescent="0.25">
      <c r="A15" s="9" t="s">
        <v>23</v>
      </c>
      <c r="B15" s="8">
        <f>SUM(B9:B14)</f>
        <v>39484</v>
      </c>
      <c r="C15" s="8">
        <f>SUM(C9:C14)</f>
        <v>5012</v>
      </c>
      <c r="D15" s="8">
        <f t="shared" ref="D15" si="1">SUM(D9:D14)</f>
        <v>1043719</v>
      </c>
      <c r="E15" s="23">
        <f t="shared" ref="E15" si="2">SUM(E9:E14)</f>
        <v>1088215</v>
      </c>
    </row>
    <row r="16" spans="1:5" ht="19.149999999999999" customHeight="1" x14ac:dyDescent="0.25">
      <c r="A16" s="2" t="s">
        <v>366</v>
      </c>
      <c r="B16" s="18"/>
      <c r="C16" s="18"/>
      <c r="D16" s="18">
        <v>53000</v>
      </c>
      <c r="E16" s="22">
        <f>SUM(B16:D16)</f>
        <v>53000</v>
      </c>
    </row>
    <row r="17" spans="1:5" ht="19.149999999999999" customHeight="1" x14ac:dyDescent="0.25">
      <c r="A17" s="2" t="s">
        <v>25</v>
      </c>
      <c r="B17" s="7"/>
      <c r="C17" s="7"/>
      <c r="D17" s="7">
        <f>685221-53000</f>
        <v>632221</v>
      </c>
      <c r="E17" s="22">
        <f>SUM(B17:D17)</f>
        <v>632221</v>
      </c>
    </row>
    <row r="18" spans="1:5" ht="15" customHeight="1" thickBot="1" x14ac:dyDescent="0.3">
      <c r="A18" s="10" t="s">
        <v>26</v>
      </c>
      <c r="B18" s="11">
        <f>SUM(B15:B17)</f>
        <v>39484</v>
      </c>
      <c r="C18" s="11">
        <f>SUM(C15:C17)</f>
        <v>5012</v>
      </c>
      <c r="D18" s="11">
        <f t="shared" ref="D18" si="3">SUM(D15:D17)</f>
        <v>1728940</v>
      </c>
      <c r="E18" s="24">
        <f t="shared" ref="E18" si="4">SUM(E15:E17)</f>
        <v>1773436</v>
      </c>
    </row>
    <row r="19" spans="1:5" ht="15" customHeight="1" x14ac:dyDescent="0.25">
      <c r="A19" s="70" t="s">
        <v>367</v>
      </c>
      <c r="B19" s="12"/>
      <c r="C19" s="12"/>
      <c r="D19" s="12"/>
      <c r="E19" s="13"/>
    </row>
  </sheetData>
  <pageMargins left="0.75" right="0.75" top="0.5" bottom="0.5" header="0.3" footer="0.3"/>
  <pageSetup orientation="landscape" r:id="rId1"/>
  <headerFooter>
    <oddFooter>&amp;L&amp;8&amp;D&amp;C&amp;8&amp;P&amp;R&amp;8&amp;A</oddFooter>
  </headerFooter>
  <ignoredErrors>
    <ignoredError sqref="E15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880CC-44F6-42D2-AA60-9506A8FCD92F}">
  <sheetPr>
    <tabColor rgb="FFFFC000"/>
    <pageSetUpPr fitToPage="1"/>
  </sheetPr>
  <dimension ref="A1:M241"/>
  <sheetViews>
    <sheetView workbookViewId="0">
      <selection activeCell="N12" sqref="N12"/>
    </sheetView>
  </sheetViews>
  <sheetFormatPr defaultColWidth="8.85546875" defaultRowHeight="15" x14ac:dyDescent="0.25"/>
  <cols>
    <col min="1" max="1" width="19.140625" style="2" bestFit="1" customWidth="1"/>
    <col min="2" max="10" width="12.7109375" style="1" customWidth="1"/>
    <col min="11" max="11" width="12.7109375" style="2" customWidth="1"/>
    <col min="12" max="12" width="6.85546875" style="2" customWidth="1"/>
    <col min="13" max="13" width="33.7109375" style="68" bestFit="1" customWidth="1"/>
    <col min="14" max="14" width="34.7109375" style="2" bestFit="1" customWidth="1"/>
    <col min="15" max="15" width="32.28515625" style="2" bestFit="1" customWidth="1"/>
    <col min="16" max="16" width="14" style="2" customWidth="1"/>
    <col min="17" max="17" width="7.28515625" style="2" bestFit="1" customWidth="1"/>
    <col min="18" max="18" width="7.5703125" style="2" bestFit="1" customWidth="1"/>
    <col min="19" max="19" width="6.7109375" style="2" bestFit="1" customWidth="1"/>
    <col min="20" max="24" width="14" style="2" customWidth="1"/>
    <col min="25" max="16384" width="8.85546875" style="2"/>
  </cols>
  <sheetData>
    <row r="1" spans="1:13" ht="25.9" customHeight="1" x14ac:dyDescent="0.4">
      <c r="A1" s="3"/>
      <c r="J1" s="26"/>
    </row>
    <row r="2" spans="1:13" ht="25.9" customHeight="1" x14ac:dyDescent="0.3">
      <c r="A2" s="3"/>
    </row>
    <row r="3" spans="1:13" ht="18.75" customHeight="1" x14ac:dyDescent="0.3">
      <c r="A3" s="3" t="s">
        <v>368</v>
      </c>
      <c r="K3" s="6" t="str">
        <f>+'Attachment A - Base'!I3</f>
        <v>BPA #25-01</v>
      </c>
    </row>
    <row r="4" spans="1:13" ht="20.100000000000001" customHeight="1" x14ac:dyDescent="0.25">
      <c r="A4" s="17">
        <f>+'Attachment A - Base'!A4</f>
        <v>45881</v>
      </c>
    </row>
    <row r="5" spans="1:13" x14ac:dyDescent="0.25">
      <c r="B5" s="169"/>
      <c r="C5" s="169"/>
      <c r="D5" s="169"/>
      <c r="E5" s="169"/>
      <c r="F5" s="169"/>
      <c r="G5" s="169"/>
      <c r="H5" s="169"/>
      <c r="I5" s="169"/>
      <c r="J5" s="169"/>
    </row>
    <row r="6" spans="1:13" x14ac:dyDescent="0.25">
      <c r="K6" s="19"/>
    </row>
    <row r="7" spans="1:13" ht="58.15" customHeight="1" thickBot="1" x14ac:dyDescent="0.3">
      <c r="A7" s="4"/>
      <c r="B7" s="5" t="s">
        <v>369</v>
      </c>
      <c r="C7" s="5" t="s">
        <v>370</v>
      </c>
      <c r="D7" s="5" t="s">
        <v>371</v>
      </c>
      <c r="E7" s="5" t="s">
        <v>372</v>
      </c>
      <c r="F7" s="5" t="s">
        <v>373</v>
      </c>
      <c r="G7" s="5" t="s">
        <v>374</v>
      </c>
      <c r="H7" s="5" t="s">
        <v>375</v>
      </c>
      <c r="I7" s="5" t="s">
        <v>376</v>
      </c>
      <c r="J7" s="5" t="s">
        <v>377</v>
      </c>
      <c r="K7" s="20" t="s">
        <v>378</v>
      </c>
    </row>
    <row r="8" spans="1:13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16"/>
      <c r="J8" s="16"/>
      <c r="K8" s="21"/>
    </row>
    <row r="9" spans="1:13" ht="19.149999999999999" customHeight="1" x14ac:dyDescent="0.25">
      <c r="A9" s="2" t="s">
        <v>17</v>
      </c>
      <c r="B9" s="25">
        <f t="shared" ref="B9:H9" si="0">+B226+B227</f>
        <v>703188</v>
      </c>
      <c r="C9" s="25">
        <f t="shared" si="0"/>
        <v>11094</v>
      </c>
      <c r="D9" s="25">
        <f t="shared" si="0"/>
        <v>0</v>
      </c>
      <c r="E9" s="25">
        <f t="shared" si="0"/>
        <v>0</v>
      </c>
      <c r="F9" s="25">
        <f t="shared" si="0"/>
        <v>0</v>
      </c>
      <c r="G9" s="25">
        <f t="shared" si="0"/>
        <v>0</v>
      </c>
      <c r="H9" s="25">
        <f t="shared" si="0"/>
        <v>0</v>
      </c>
      <c r="I9" s="25">
        <v>0</v>
      </c>
      <c r="J9" s="25">
        <v>0</v>
      </c>
      <c r="K9" s="22">
        <f t="shared" ref="K9:K14" si="1">SUM(B9:J9)</f>
        <v>714282</v>
      </c>
    </row>
    <row r="10" spans="1:13" ht="19.149999999999999" customHeight="1" x14ac:dyDescent="0.25">
      <c r="A10" s="2" t="s">
        <v>18</v>
      </c>
      <c r="B10" s="25">
        <f t="shared" ref="B10:H14" si="2">+B228</f>
        <v>3595805</v>
      </c>
      <c r="C10" s="25">
        <f t="shared" si="2"/>
        <v>405679</v>
      </c>
      <c r="D10" s="25">
        <f t="shared" si="2"/>
        <v>1156771</v>
      </c>
      <c r="E10" s="25">
        <f t="shared" si="2"/>
        <v>25998</v>
      </c>
      <c r="F10" s="25">
        <f t="shared" si="2"/>
        <v>13105</v>
      </c>
      <c r="G10" s="25">
        <f t="shared" si="2"/>
        <v>0</v>
      </c>
      <c r="H10" s="25">
        <f t="shared" si="2"/>
        <v>0</v>
      </c>
      <c r="I10" s="25">
        <v>0</v>
      </c>
      <c r="J10" s="25">
        <v>0</v>
      </c>
      <c r="K10" s="22">
        <f t="shared" si="1"/>
        <v>5197358</v>
      </c>
    </row>
    <row r="11" spans="1:13" ht="19.149999999999999" customHeight="1" x14ac:dyDescent="0.25">
      <c r="A11" s="2" t="s">
        <v>19</v>
      </c>
      <c r="B11" s="25">
        <f t="shared" si="2"/>
        <v>8612301</v>
      </c>
      <c r="C11" s="25">
        <f t="shared" si="2"/>
        <v>0</v>
      </c>
      <c r="D11" s="25">
        <f t="shared" si="2"/>
        <v>0</v>
      </c>
      <c r="E11" s="25">
        <f t="shared" si="2"/>
        <v>94894</v>
      </c>
      <c r="F11" s="25">
        <f t="shared" si="2"/>
        <v>0</v>
      </c>
      <c r="G11" s="25">
        <f t="shared" si="2"/>
        <v>12264</v>
      </c>
      <c r="H11" s="25">
        <f t="shared" si="2"/>
        <v>498683</v>
      </c>
      <c r="I11" s="25">
        <v>0</v>
      </c>
      <c r="J11" s="25">
        <v>0</v>
      </c>
      <c r="K11" s="22">
        <f t="shared" si="1"/>
        <v>9218142</v>
      </c>
    </row>
    <row r="12" spans="1:13" ht="19.149999999999999" customHeight="1" x14ac:dyDescent="0.25">
      <c r="A12" s="2" t="s">
        <v>20</v>
      </c>
      <c r="B12" s="25">
        <f t="shared" si="2"/>
        <v>5406521</v>
      </c>
      <c r="C12" s="25">
        <f t="shared" si="2"/>
        <v>680560</v>
      </c>
      <c r="D12" s="25">
        <f t="shared" si="2"/>
        <v>0</v>
      </c>
      <c r="E12" s="25">
        <f t="shared" si="2"/>
        <v>0</v>
      </c>
      <c r="F12" s="25">
        <f t="shared" si="2"/>
        <v>0</v>
      </c>
      <c r="G12" s="25">
        <f t="shared" si="2"/>
        <v>0</v>
      </c>
      <c r="H12" s="25">
        <f t="shared" si="2"/>
        <v>0</v>
      </c>
      <c r="I12" s="25">
        <v>0</v>
      </c>
      <c r="J12" s="25">
        <v>0</v>
      </c>
      <c r="K12" s="22">
        <f t="shared" si="1"/>
        <v>6087081</v>
      </c>
    </row>
    <row r="13" spans="1:13" ht="19.149999999999999" customHeight="1" x14ac:dyDescent="0.25">
      <c r="A13" s="2" t="s">
        <v>21</v>
      </c>
      <c r="B13" s="25">
        <f t="shared" si="2"/>
        <v>606209</v>
      </c>
      <c r="C13" s="25">
        <f t="shared" si="2"/>
        <v>77564</v>
      </c>
      <c r="D13" s="25">
        <f t="shared" si="2"/>
        <v>176183</v>
      </c>
      <c r="E13" s="25">
        <f t="shared" si="2"/>
        <v>13467</v>
      </c>
      <c r="F13" s="25">
        <f t="shared" si="2"/>
        <v>0</v>
      </c>
      <c r="G13" s="25">
        <f t="shared" si="2"/>
        <v>0</v>
      </c>
      <c r="H13" s="25">
        <f t="shared" si="2"/>
        <v>0</v>
      </c>
      <c r="I13" s="25">
        <v>0</v>
      </c>
      <c r="J13" s="25">
        <v>0</v>
      </c>
      <c r="K13" s="22">
        <f t="shared" si="1"/>
        <v>873423</v>
      </c>
    </row>
    <row r="14" spans="1:13" ht="19.149999999999999" customHeight="1" x14ac:dyDescent="0.25">
      <c r="A14" s="2" t="s">
        <v>22</v>
      </c>
      <c r="B14" s="25">
        <f t="shared" si="2"/>
        <v>108611</v>
      </c>
      <c r="C14" s="25">
        <f t="shared" si="2"/>
        <v>723016</v>
      </c>
      <c r="D14" s="25">
        <f t="shared" si="2"/>
        <v>0</v>
      </c>
      <c r="E14" s="25">
        <f t="shared" si="2"/>
        <v>0</v>
      </c>
      <c r="F14" s="25">
        <f t="shared" si="2"/>
        <v>0</v>
      </c>
      <c r="G14" s="25">
        <f t="shared" si="2"/>
        <v>0</v>
      </c>
      <c r="H14" s="25">
        <f t="shared" si="2"/>
        <v>0</v>
      </c>
      <c r="I14" s="25">
        <v>0</v>
      </c>
      <c r="J14" s="25">
        <v>0</v>
      </c>
      <c r="K14" s="22">
        <f t="shared" si="1"/>
        <v>831627</v>
      </c>
    </row>
    <row r="15" spans="1:13" ht="19.149999999999999" customHeight="1" x14ac:dyDescent="0.25">
      <c r="A15" s="9" t="s">
        <v>23</v>
      </c>
      <c r="B15" s="8">
        <f t="shared" ref="B15:K15" si="3">SUM(B9:B14)</f>
        <v>19032635</v>
      </c>
      <c r="C15" s="8">
        <f t="shared" ref="C15:D15" si="4">SUM(C9:C14)</f>
        <v>1897913</v>
      </c>
      <c r="D15" s="8">
        <f t="shared" si="4"/>
        <v>1332954</v>
      </c>
      <c r="E15" s="8">
        <f t="shared" ref="E15:I15" si="5">SUM(E9:E14)</f>
        <v>134359</v>
      </c>
      <c r="F15" s="8">
        <f t="shared" si="5"/>
        <v>13105</v>
      </c>
      <c r="G15" s="8">
        <f t="shared" si="5"/>
        <v>12264</v>
      </c>
      <c r="H15" s="8">
        <f t="shared" si="5"/>
        <v>498683</v>
      </c>
      <c r="I15" s="8">
        <f t="shared" si="5"/>
        <v>0</v>
      </c>
      <c r="J15" s="8">
        <f t="shared" si="3"/>
        <v>0</v>
      </c>
      <c r="K15" s="23">
        <f t="shared" si="3"/>
        <v>22921913</v>
      </c>
      <c r="M15" s="113"/>
    </row>
    <row r="16" spans="1:13" ht="19.149999999999999" customHeight="1" x14ac:dyDescent="0.25">
      <c r="A16" s="2" t="s">
        <v>24</v>
      </c>
      <c r="B16" s="154"/>
      <c r="C16" s="154"/>
      <c r="D16" s="154"/>
      <c r="E16" s="154"/>
      <c r="F16" s="154"/>
      <c r="G16" s="154"/>
      <c r="H16" s="154"/>
      <c r="I16" s="7"/>
      <c r="J16" s="7"/>
      <c r="K16" s="22">
        <f>SUM(B16:J16)</f>
        <v>0</v>
      </c>
    </row>
    <row r="17" spans="1:12" ht="19.149999999999999" customHeight="1" x14ac:dyDescent="0.25">
      <c r="A17" s="2" t="s">
        <v>25</v>
      </c>
      <c r="B17" s="25">
        <f t="shared" ref="B17:H17" si="6">+B233</f>
        <v>95982</v>
      </c>
      <c r="C17" s="25">
        <f t="shared" si="6"/>
        <v>0</v>
      </c>
      <c r="D17" s="25">
        <f t="shared" si="6"/>
        <v>0</v>
      </c>
      <c r="E17" s="25">
        <f t="shared" si="6"/>
        <v>0</v>
      </c>
      <c r="F17" s="25">
        <f t="shared" si="6"/>
        <v>0</v>
      </c>
      <c r="G17" s="25">
        <f t="shared" si="6"/>
        <v>0</v>
      </c>
      <c r="H17" s="25">
        <f t="shared" si="6"/>
        <v>0</v>
      </c>
      <c r="I17" s="25">
        <v>0</v>
      </c>
      <c r="J17" s="25">
        <v>0</v>
      </c>
      <c r="K17" s="22">
        <f>SUM(B17:J17)</f>
        <v>95982</v>
      </c>
    </row>
    <row r="18" spans="1:12" ht="15" customHeight="1" thickBot="1" x14ac:dyDescent="0.3">
      <c r="A18" s="10" t="s">
        <v>26</v>
      </c>
      <c r="B18" s="11">
        <f t="shared" ref="B18:K18" si="7">SUM(B15:B17)</f>
        <v>19128617</v>
      </c>
      <c r="C18" s="11">
        <f t="shared" si="7"/>
        <v>1897913</v>
      </c>
      <c r="D18" s="11">
        <f t="shared" si="7"/>
        <v>1332954</v>
      </c>
      <c r="E18" s="11">
        <f t="shared" si="7"/>
        <v>134359</v>
      </c>
      <c r="F18" s="11">
        <f t="shared" si="7"/>
        <v>13105</v>
      </c>
      <c r="G18" s="11">
        <f t="shared" si="7"/>
        <v>12264</v>
      </c>
      <c r="H18" s="11">
        <f t="shared" si="7"/>
        <v>498683</v>
      </c>
      <c r="I18" s="11">
        <f t="shared" si="7"/>
        <v>0</v>
      </c>
      <c r="J18" s="11">
        <f t="shared" si="7"/>
        <v>0</v>
      </c>
      <c r="K18" s="24">
        <f t="shared" si="7"/>
        <v>23017895</v>
      </c>
    </row>
    <row r="19" spans="1:12" ht="15" customHeight="1" x14ac:dyDescent="0.25">
      <c r="A19" s="70" t="s">
        <v>379</v>
      </c>
      <c r="B19" s="104"/>
      <c r="C19" s="104"/>
      <c r="D19" s="104"/>
      <c r="E19" s="104"/>
      <c r="F19" s="104"/>
      <c r="G19" s="104"/>
      <c r="H19" s="104"/>
      <c r="I19" s="104"/>
      <c r="J19" s="104"/>
    </row>
    <row r="20" spans="1:12" ht="15" customHeight="1" x14ac:dyDescent="0.25">
      <c r="A20" s="70" t="s">
        <v>380</v>
      </c>
      <c r="B20" s="18"/>
      <c r="C20" s="13"/>
      <c r="D20" s="13"/>
      <c r="E20" s="13"/>
      <c r="F20" s="13"/>
      <c r="G20" s="13"/>
      <c r="H20" s="13"/>
      <c r="I20" s="13"/>
      <c r="J20" s="13"/>
    </row>
    <row r="21" spans="1:12" ht="15" customHeight="1" x14ac:dyDescent="0.25">
      <c r="A21" s="12" t="s">
        <v>381</v>
      </c>
      <c r="B21" s="18"/>
      <c r="C21" s="13"/>
      <c r="D21" s="13"/>
      <c r="E21" s="13"/>
      <c r="F21" s="13"/>
      <c r="G21" s="13"/>
      <c r="H21" s="13"/>
      <c r="I21" s="13"/>
      <c r="J21" s="13"/>
    </row>
    <row r="22" spans="1:12" ht="15" customHeight="1" x14ac:dyDescent="0.25">
      <c r="A22" s="70"/>
      <c r="B22" s="18"/>
      <c r="C22" s="13"/>
      <c r="D22" s="13"/>
      <c r="E22" s="13"/>
      <c r="F22" s="13"/>
      <c r="G22" s="13"/>
      <c r="H22" s="13"/>
      <c r="I22" s="13"/>
      <c r="J22" s="13"/>
    </row>
    <row r="23" spans="1:12" ht="15" customHeight="1" x14ac:dyDescent="0.25">
      <c r="A23" s="100" t="s">
        <v>305</v>
      </c>
      <c r="B23" s="101" t="s">
        <v>304</v>
      </c>
      <c r="C23" s="100" t="s">
        <v>306</v>
      </c>
      <c r="D23" s="100" t="s">
        <v>382</v>
      </c>
      <c r="E23" s="100" t="s">
        <v>383</v>
      </c>
      <c r="F23" s="13"/>
      <c r="G23" s="13"/>
      <c r="H23" s="121"/>
      <c r="I23" s="13"/>
      <c r="J23" s="13"/>
    </row>
    <row r="24" spans="1:12" ht="15" customHeight="1" x14ac:dyDescent="0.25">
      <c r="A24" s="70" t="s">
        <v>384</v>
      </c>
      <c r="B24" s="68" t="s">
        <v>385</v>
      </c>
      <c r="C24" s="1" t="s">
        <v>386</v>
      </c>
      <c r="D24" s="68" t="s">
        <v>90</v>
      </c>
      <c r="E24" s="102">
        <v>234701</v>
      </c>
      <c r="F24" s="97"/>
      <c r="K24" s="1"/>
      <c r="L24" s="1"/>
    </row>
    <row r="25" spans="1:12" ht="15" customHeight="1" x14ac:dyDescent="0.25">
      <c r="A25" s="70" t="s">
        <v>384</v>
      </c>
      <c r="B25" s="68" t="s">
        <v>385</v>
      </c>
      <c r="C25" s="1" t="s">
        <v>387</v>
      </c>
      <c r="D25" s="68" t="s">
        <v>90</v>
      </c>
      <c r="E25" s="102">
        <v>2744316</v>
      </c>
      <c r="F25" s="97"/>
      <c r="K25" s="1"/>
      <c r="L25" s="1"/>
    </row>
    <row r="26" spans="1:12" ht="15" customHeight="1" x14ac:dyDescent="0.25">
      <c r="A26" s="70" t="s">
        <v>384</v>
      </c>
      <c r="B26" s="68" t="s">
        <v>385</v>
      </c>
      <c r="C26" s="1" t="s">
        <v>388</v>
      </c>
      <c r="D26" s="68" t="s">
        <v>90</v>
      </c>
      <c r="E26" s="102">
        <v>2970</v>
      </c>
      <c r="F26" s="97"/>
      <c r="K26" s="1"/>
      <c r="L26" s="1"/>
    </row>
    <row r="27" spans="1:12" ht="15" customHeight="1" x14ac:dyDescent="0.25">
      <c r="A27" s="70" t="s">
        <v>384</v>
      </c>
      <c r="B27" s="68" t="s">
        <v>385</v>
      </c>
      <c r="C27" s="1" t="s">
        <v>389</v>
      </c>
      <c r="D27" s="68" t="s">
        <v>90</v>
      </c>
      <c r="E27" s="102">
        <v>9064</v>
      </c>
      <c r="F27" s="98"/>
      <c r="K27" s="1"/>
      <c r="L27" s="1"/>
    </row>
    <row r="28" spans="1:12" ht="15" customHeight="1" x14ac:dyDescent="0.25">
      <c r="A28" s="70" t="s">
        <v>384</v>
      </c>
      <c r="B28" s="68" t="s">
        <v>385</v>
      </c>
      <c r="C28" s="1" t="s">
        <v>390</v>
      </c>
      <c r="D28" s="68" t="s">
        <v>90</v>
      </c>
      <c r="E28" s="102">
        <v>80</v>
      </c>
      <c r="F28" s="98"/>
      <c r="K28" s="1"/>
      <c r="L28" s="1"/>
    </row>
    <row r="29" spans="1:12" ht="15" customHeight="1" x14ac:dyDescent="0.25">
      <c r="A29" s="70" t="s">
        <v>384</v>
      </c>
      <c r="B29" s="68" t="s">
        <v>385</v>
      </c>
      <c r="C29" s="1" t="s">
        <v>391</v>
      </c>
      <c r="D29" s="68" t="s">
        <v>90</v>
      </c>
      <c r="E29" s="102">
        <v>945</v>
      </c>
      <c r="F29" s="98"/>
      <c r="K29" s="1"/>
      <c r="L29" s="1"/>
    </row>
    <row r="30" spans="1:12" ht="15" customHeight="1" x14ac:dyDescent="0.25">
      <c r="A30" s="70" t="s">
        <v>384</v>
      </c>
      <c r="B30" s="68" t="s">
        <v>385</v>
      </c>
      <c r="C30" s="1" t="s">
        <v>392</v>
      </c>
      <c r="D30" s="68" t="s">
        <v>90</v>
      </c>
      <c r="E30" s="102">
        <v>34318</v>
      </c>
      <c r="F30" s="98"/>
      <c r="K30" s="1"/>
      <c r="L30" s="1"/>
    </row>
    <row r="31" spans="1:12" ht="15" customHeight="1" x14ac:dyDescent="0.25">
      <c r="A31" s="70" t="s">
        <v>384</v>
      </c>
      <c r="B31" s="68" t="s">
        <v>385</v>
      </c>
      <c r="C31" s="1" t="s">
        <v>393</v>
      </c>
      <c r="D31" s="68" t="s">
        <v>394</v>
      </c>
      <c r="E31" s="102">
        <v>220</v>
      </c>
      <c r="F31" s="97"/>
      <c r="K31" s="1"/>
      <c r="L31" s="1"/>
    </row>
    <row r="32" spans="1:12" ht="15" customHeight="1" x14ac:dyDescent="0.25">
      <c r="A32" s="70" t="s">
        <v>384</v>
      </c>
      <c r="B32" s="68" t="s">
        <v>385</v>
      </c>
      <c r="C32" s="1" t="s">
        <v>395</v>
      </c>
      <c r="D32" s="68" t="s">
        <v>90</v>
      </c>
      <c r="E32" s="102">
        <v>4659</v>
      </c>
      <c r="F32" s="97"/>
      <c r="K32" s="1"/>
      <c r="L32" s="1"/>
    </row>
    <row r="33" spans="1:12" x14ac:dyDescent="0.25">
      <c r="A33" s="70" t="s">
        <v>384</v>
      </c>
      <c r="B33" s="68" t="s">
        <v>385</v>
      </c>
      <c r="C33" s="1" t="s">
        <v>396</v>
      </c>
      <c r="D33" s="68" t="s">
        <v>90</v>
      </c>
      <c r="E33" s="154">
        <v>1800</v>
      </c>
      <c r="K33" s="1"/>
      <c r="L33" s="1"/>
    </row>
    <row r="34" spans="1:12" ht="15" customHeight="1" x14ac:dyDescent="0.25">
      <c r="A34" s="70" t="s">
        <v>384</v>
      </c>
      <c r="B34" s="68" t="s">
        <v>385</v>
      </c>
      <c r="C34" s="1" t="s">
        <v>397</v>
      </c>
      <c r="D34" s="68" t="s">
        <v>90</v>
      </c>
      <c r="E34" s="102">
        <v>696</v>
      </c>
      <c r="F34" s="97"/>
      <c r="K34" s="1"/>
      <c r="L34" s="1"/>
    </row>
    <row r="35" spans="1:12" ht="15" customHeight="1" x14ac:dyDescent="0.25">
      <c r="A35" s="70" t="s">
        <v>384</v>
      </c>
      <c r="B35" s="68" t="s">
        <v>385</v>
      </c>
      <c r="C35" s="1" t="s">
        <v>398</v>
      </c>
      <c r="D35" s="68" t="s">
        <v>90</v>
      </c>
      <c r="E35" s="102">
        <v>255</v>
      </c>
      <c r="F35" s="97"/>
      <c r="K35" s="1"/>
      <c r="L35" s="1"/>
    </row>
    <row r="36" spans="1:12" x14ac:dyDescent="0.25">
      <c r="A36" s="70" t="s">
        <v>384</v>
      </c>
      <c r="B36" s="68" t="s">
        <v>385</v>
      </c>
      <c r="C36" s="1" t="s">
        <v>399</v>
      </c>
      <c r="D36" s="68" t="s">
        <v>90</v>
      </c>
      <c r="E36" s="102">
        <v>585</v>
      </c>
      <c r="F36" s="97"/>
      <c r="K36" s="1"/>
      <c r="L36" s="1"/>
    </row>
    <row r="37" spans="1:12" x14ac:dyDescent="0.25">
      <c r="A37" s="70" t="s">
        <v>384</v>
      </c>
      <c r="B37" s="68" t="s">
        <v>385</v>
      </c>
      <c r="C37" s="1" t="s">
        <v>400</v>
      </c>
      <c r="D37" s="68" t="s">
        <v>401</v>
      </c>
      <c r="E37" s="102">
        <v>270</v>
      </c>
      <c r="K37" s="1"/>
      <c r="L37" s="1"/>
    </row>
    <row r="38" spans="1:12" x14ac:dyDescent="0.25">
      <c r="A38" s="70" t="s">
        <v>384</v>
      </c>
      <c r="B38" s="68" t="s">
        <v>385</v>
      </c>
      <c r="C38" s="1" t="s">
        <v>402</v>
      </c>
      <c r="D38" s="68" t="s">
        <v>90</v>
      </c>
      <c r="E38" s="102">
        <v>618</v>
      </c>
      <c r="K38" s="1"/>
      <c r="L38" s="1"/>
    </row>
    <row r="39" spans="1:12" x14ac:dyDescent="0.25">
      <c r="A39" s="70" t="s">
        <v>384</v>
      </c>
      <c r="B39" s="68" t="s">
        <v>385</v>
      </c>
      <c r="C39" s="1" t="s">
        <v>402</v>
      </c>
      <c r="D39" s="68" t="s">
        <v>403</v>
      </c>
      <c r="E39" s="102">
        <v>1800</v>
      </c>
      <c r="K39" s="1"/>
      <c r="L39" s="1"/>
    </row>
    <row r="40" spans="1:12" x14ac:dyDescent="0.25">
      <c r="A40" s="70" t="s">
        <v>384</v>
      </c>
      <c r="B40" s="68" t="s">
        <v>385</v>
      </c>
      <c r="C40" s="1" t="s">
        <v>402</v>
      </c>
      <c r="D40" s="68" t="s">
        <v>172</v>
      </c>
      <c r="E40" s="102">
        <v>255</v>
      </c>
      <c r="K40" s="1"/>
      <c r="L40" s="1"/>
    </row>
    <row r="41" spans="1:12" x14ac:dyDescent="0.25">
      <c r="A41" s="70" t="s">
        <v>384</v>
      </c>
      <c r="B41" s="68" t="s">
        <v>385</v>
      </c>
      <c r="C41" s="1" t="s">
        <v>404</v>
      </c>
      <c r="D41" s="68" t="s">
        <v>394</v>
      </c>
      <c r="E41" s="102">
        <v>225</v>
      </c>
      <c r="K41" s="1"/>
      <c r="L41" s="1"/>
    </row>
    <row r="42" spans="1:12" x14ac:dyDescent="0.25">
      <c r="A42" s="70" t="s">
        <v>384</v>
      </c>
      <c r="B42" s="68" t="s">
        <v>385</v>
      </c>
      <c r="C42" s="1" t="s">
        <v>405</v>
      </c>
      <c r="D42" s="68" t="s">
        <v>90</v>
      </c>
      <c r="E42" s="102">
        <v>6637</v>
      </c>
      <c r="K42" s="1"/>
      <c r="L42" s="1"/>
    </row>
    <row r="43" spans="1:12" x14ac:dyDescent="0.25">
      <c r="A43" s="70" t="s">
        <v>384</v>
      </c>
      <c r="B43" s="68" t="s">
        <v>385</v>
      </c>
      <c r="C43" s="1" t="s">
        <v>406</v>
      </c>
      <c r="D43" s="68" t="s">
        <v>129</v>
      </c>
      <c r="E43" s="102">
        <v>333</v>
      </c>
      <c r="K43" s="1"/>
      <c r="L43" s="1"/>
    </row>
    <row r="44" spans="1:12" x14ac:dyDescent="0.25">
      <c r="A44" s="70" t="s">
        <v>384</v>
      </c>
      <c r="B44" s="68" t="s">
        <v>385</v>
      </c>
      <c r="C44" s="1" t="s">
        <v>407</v>
      </c>
      <c r="D44" s="68" t="s">
        <v>138</v>
      </c>
      <c r="E44" s="102">
        <v>1190</v>
      </c>
      <c r="K44" s="1"/>
      <c r="L44" s="1"/>
    </row>
    <row r="45" spans="1:12" x14ac:dyDescent="0.25">
      <c r="A45" s="70" t="s">
        <v>384</v>
      </c>
      <c r="B45" s="68" t="s">
        <v>385</v>
      </c>
      <c r="C45" s="1" t="s">
        <v>408</v>
      </c>
      <c r="D45" s="68" t="s">
        <v>90</v>
      </c>
      <c r="E45" s="102">
        <v>1153</v>
      </c>
      <c r="K45" s="1"/>
      <c r="L45" s="1"/>
    </row>
    <row r="46" spans="1:12" x14ac:dyDescent="0.25">
      <c r="A46" s="70" t="s">
        <v>384</v>
      </c>
      <c r="B46" s="68" t="s">
        <v>385</v>
      </c>
      <c r="C46" s="1" t="s">
        <v>409</v>
      </c>
      <c r="D46" s="68" t="s">
        <v>410</v>
      </c>
      <c r="E46" s="102">
        <v>6071</v>
      </c>
      <c r="K46" s="1"/>
      <c r="L46" s="1"/>
    </row>
    <row r="47" spans="1:12" x14ac:dyDescent="0.25">
      <c r="A47" s="70" t="s">
        <v>384</v>
      </c>
      <c r="B47" s="68" t="s">
        <v>385</v>
      </c>
      <c r="C47" s="1" t="s">
        <v>409</v>
      </c>
      <c r="D47" s="68" t="s">
        <v>411</v>
      </c>
      <c r="E47" s="102">
        <v>4369</v>
      </c>
      <c r="K47" s="1"/>
      <c r="L47" s="1"/>
    </row>
    <row r="48" spans="1:12" x14ac:dyDescent="0.25">
      <c r="A48" s="70" t="s">
        <v>384</v>
      </c>
      <c r="B48" s="68" t="s">
        <v>385</v>
      </c>
      <c r="C48" s="1" t="s">
        <v>409</v>
      </c>
      <c r="D48" s="68" t="s">
        <v>412</v>
      </c>
      <c r="E48" s="102">
        <v>831</v>
      </c>
      <c r="K48" s="1"/>
      <c r="L48" s="1"/>
    </row>
    <row r="49" spans="1:12" x14ac:dyDescent="0.25">
      <c r="A49" s="70" t="s">
        <v>384</v>
      </c>
      <c r="B49" s="68" t="s">
        <v>385</v>
      </c>
      <c r="C49" s="1" t="s">
        <v>413</v>
      </c>
      <c r="D49" s="68" t="s">
        <v>90</v>
      </c>
      <c r="E49" s="102">
        <v>1350</v>
      </c>
      <c r="K49" s="1"/>
      <c r="L49" s="1"/>
    </row>
    <row r="50" spans="1:12" x14ac:dyDescent="0.25">
      <c r="A50" s="70" t="s">
        <v>384</v>
      </c>
      <c r="B50" s="68" t="s">
        <v>385</v>
      </c>
      <c r="C50" s="1" t="s">
        <v>414</v>
      </c>
      <c r="D50" s="68" t="s">
        <v>90</v>
      </c>
      <c r="E50" s="102">
        <v>36196</v>
      </c>
      <c r="K50" s="1"/>
      <c r="L50" s="1"/>
    </row>
    <row r="51" spans="1:12" x14ac:dyDescent="0.25">
      <c r="A51" s="70" t="s">
        <v>384</v>
      </c>
      <c r="B51" s="68" t="s">
        <v>385</v>
      </c>
      <c r="C51" s="1" t="s">
        <v>414</v>
      </c>
      <c r="D51" s="68" t="s">
        <v>109</v>
      </c>
      <c r="E51" s="102">
        <v>528</v>
      </c>
      <c r="K51" s="1"/>
      <c r="L51" s="1"/>
    </row>
    <row r="52" spans="1:12" x14ac:dyDescent="0.25">
      <c r="A52" s="70" t="s">
        <v>384</v>
      </c>
      <c r="B52" s="68" t="s">
        <v>385</v>
      </c>
      <c r="C52" s="1" t="s">
        <v>414</v>
      </c>
      <c r="D52" s="68" t="s">
        <v>110</v>
      </c>
      <c r="E52" s="102">
        <v>637</v>
      </c>
      <c r="K52" s="1"/>
      <c r="L52" s="1"/>
    </row>
    <row r="53" spans="1:12" x14ac:dyDescent="0.25">
      <c r="A53" s="70" t="s">
        <v>384</v>
      </c>
      <c r="B53" s="68" t="s">
        <v>385</v>
      </c>
      <c r="C53" s="1" t="s">
        <v>415</v>
      </c>
      <c r="D53" s="68" t="s">
        <v>123</v>
      </c>
      <c r="E53" s="102">
        <v>346</v>
      </c>
      <c r="K53" s="1"/>
      <c r="L53" s="1"/>
    </row>
    <row r="54" spans="1:12" x14ac:dyDescent="0.25">
      <c r="A54" s="70" t="s">
        <v>384</v>
      </c>
      <c r="B54" s="68" t="s">
        <v>385</v>
      </c>
      <c r="C54" s="1" t="s">
        <v>415</v>
      </c>
      <c r="D54" s="68" t="s">
        <v>124</v>
      </c>
      <c r="E54" s="102">
        <v>443</v>
      </c>
      <c r="K54" s="1"/>
      <c r="L54" s="1"/>
    </row>
    <row r="55" spans="1:12" x14ac:dyDescent="0.25">
      <c r="A55" s="70" t="s">
        <v>384</v>
      </c>
      <c r="B55" s="68" t="s">
        <v>385</v>
      </c>
      <c r="C55" s="1" t="s">
        <v>415</v>
      </c>
      <c r="D55" s="68" t="s">
        <v>125</v>
      </c>
      <c r="E55" s="102">
        <v>675</v>
      </c>
      <c r="K55" s="1"/>
      <c r="L55" s="1"/>
    </row>
    <row r="56" spans="1:12" x14ac:dyDescent="0.25">
      <c r="A56" s="70" t="s">
        <v>384</v>
      </c>
      <c r="B56" s="68" t="s">
        <v>385</v>
      </c>
      <c r="C56" s="1" t="s">
        <v>415</v>
      </c>
      <c r="D56" s="68" t="s">
        <v>126</v>
      </c>
      <c r="E56" s="102">
        <v>875</v>
      </c>
      <c r="K56" s="1"/>
      <c r="L56" s="1"/>
    </row>
    <row r="57" spans="1:12" x14ac:dyDescent="0.25">
      <c r="A57" s="70" t="s">
        <v>384</v>
      </c>
      <c r="B57" s="68" t="s">
        <v>385</v>
      </c>
      <c r="C57" s="1" t="s">
        <v>415</v>
      </c>
      <c r="D57" s="68" t="s">
        <v>127</v>
      </c>
      <c r="E57" s="102">
        <v>702</v>
      </c>
      <c r="K57" s="1"/>
      <c r="L57" s="1"/>
    </row>
    <row r="58" spans="1:12" x14ac:dyDescent="0.25">
      <c r="A58" s="70" t="s">
        <v>384</v>
      </c>
      <c r="B58" s="68" t="s">
        <v>385</v>
      </c>
      <c r="C58" s="1" t="s">
        <v>416</v>
      </c>
      <c r="D58" s="68" t="s">
        <v>48</v>
      </c>
      <c r="E58" s="102">
        <v>159767</v>
      </c>
      <c r="K58" s="1"/>
      <c r="L58" s="1"/>
    </row>
    <row r="59" spans="1:12" x14ac:dyDescent="0.25">
      <c r="A59" s="70" t="s">
        <v>384</v>
      </c>
      <c r="B59" s="68" t="s">
        <v>385</v>
      </c>
      <c r="C59" s="1" t="s">
        <v>417</v>
      </c>
      <c r="D59" s="68" t="s">
        <v>90</v>
      </c>
      <c r="E59" s="102">
        <v>63326</v>
      </c>
      <c r="K59" s="1"/>
      <c r="L59" s="1"/>
    </row>
    <row r="60" spans="1:12" x14ac:dyDescent="0.25">
      <c r="A60" s="70" t="s">
        <v>384</v>
      </c>
      <c r="B60" s="68" t="s">
        <v>385</v>
      </c>
      <c r="C60" s="1" t="s">
        <v>417</v>
      </c>
      <c r="D60" s="68" t="s">
        <v>394</v>
      </c>
      <c r="E60" s="102">
        <v>1695</v>
      </c>
      <c r="K60" s="1"/>
      <c r="L60" s="1"/>
    </row>
    <row r="61" spans="1:12" x14ac:dyDescent="0.25">
      <c r="A61" s="70" t="s">
        <v>384</v>
      </c>
      <c r="B61" s="68" t="s">
        <v>385</v>
      </c>
      <c r="C61" s="1" t="s">
        <v>418</v>
      </c>
      <c r="D61" s="68" t="s">
        <v>90</v>
      </c>
      <c r="E61" s="102">
        <v>540</v>
      </c>
      <c r="K61" s="1"/>
      <c r="L61" s="1"/>
    </row>
    <row r="62" spans="1:12" x14ac:dyDescent="0.25">
      <c r="A62" s="70" t="s">
        <v>384</v>
      </c>
      <c r="B62" s="68" t="s">
        <v>385</v>
      </c>
      <c r="C62" s="1" t="s">
        <v>419</v>
      </c>
      <c r="D62" s="68" t="s">
        <v>90</v>
      </c>
      <c r="E62" s="102">
        <v>485</v>
      </c>
      <c r="K62" s="1"/>
      <c r="L62" s="1"/>
    </row>
    <row r="63" spans="1:12" x14ac:dyDescent="0.25">
      <c r="A63" s="70" t="s">
        <v>384</v>
      </c>
      <c r="B63" s="68" t="s">
        <v>385</v>
      </c>
      <c r="C63" s="1" t="s">
        <v>420</v>
      </c>
      <c r="D63" s="68" t="s">
        <v>90</v>
      </c>
      <c r="E63" s="102">
        <v>4120</v>
      </c>
      <c r="K63" s="1"/>
      <c r="L63" s="1"/>
    </row>
    <row r="64" spans="1:12" x14ac:dyDescent="0.25">
      <c r="A64" s="70" t="s">
        <v>384</v>
      </c>
      <c r="B64" s="68" t="s">
        <v>385</v>
      </c>
      <c r="C64" s="1" t="s">
        <v>421</v>
      </c>
      <c r="D64" s="68" t="s">
        <v>90</v>
      </c>
      <c r="E64" s="102">
        <v>248675</v>
      </c>
      <c r="K64" s="1"/>
      <c r="L64" s="1"/>
    </row>
    <row r="65" spans="1:12" x14ac:dyDescent="0.25">
      <c r="A65" s="70" t="s">
        <v>384</v>
      </c>
      <c r="B65" s="68" t="s">
        <v>385</v>
      </c>
      <c r="C65" s="1" t="s">
        <v>421</v>
      </c>
      <c r="D65" s="68" t="s">
        <v>48</v>
      </c>
      <c r="E65" s="102">
        <v>13500</v>
      </c>
      <c r="K65" s="1"/>
      <c r="L65" s="1"/>
    </row>
    <row r="66" spans="1:12" x14ac:dyDescent="0.25">
      <c r="A66" s="70" t="s">
        <v>384</v>
      </c>
      <c r="B66" s="68" t="s">
        <v>385</v>
      </c>
      <c r="C66" s="1" t="s">
        <v>422</v>
      </c>
      <c r="D66" s="68" t="s">
        <v>90</v>
      </c>
      <c r="E66" s="102">
        <v>3584</v>
      </c>
      <c r="K66" s="1"/>
      <c r="L66" s="1"/>
    </row>
    <row r="67" spans="1:12" x14ac:dyDescent="0.25">
      <c r="A67" s="70" t="s">
        <v>384</v>
      </c>
      <c r="B67" s="68" t="s">
        <v>423</v>
      </c>
      <c r="C67" s="1" t="s">
        <v>424</v>
      </c>
      <c r="D67" s="68" t="s">
        <v>425</v>
      </c>
      <c r="E67" s="102">
        <v>3213</v>
      </c>
      <c r="K67" s="1"/>
      <c r="L67" s="1"/>
    </row>
    <row r="68" spans="1:12" x14ac:dyDescent="0.25">
      <c r="A68" s="2" t="s">
        <v>384</v>
      </c>
      <c r="B68" s="68" t="s">
        <v>423</v>
      </c>
      <c r="C68" s="1" t="s">
        <v>426</v>
      </c>
      <c r="D68" s="68" t="s">
        <v>90</v>
      </c>
      <c r="E68" s="102">
        <v>466965</v>
      </c>
      <c r="K68" s="1"/>
      <c r="L68" s="1"/>
    </row>
    <row r="69" spans="1:12" x14ac:dyDescent="0.25">
      <c r="A69" s="2" t="s">
        <v>384</v>
      </c>
      <c r="B69" s="68" t="s">
        <v>423</v>
      </c>
      <c r="C69" s="1" t="s">
        <v>427</v>
      </c>
      <c r="D69" s="68" t="s">
        <v>90</v>
      </c>
      <c r="E69" s="102">
        <v>308893</v>
      </c>
      <c r="K69" s="1"/>
      <c r="L69" s="1"/>
    </row>
    <row r="70" spans="1:12" x14ac:dyDescent="0.25">
      <c r="A70" s="2" t="s">
        <v>384</v>
      </c>
      <c r="B70" s="68" t="s">
        <v>423</v>
      </c>
      <c r="C70" s="1" t="s">
        <v>427</v>
      </c>
      <c r="D70" s="68" t="s">
        <v>90</v>
      </c>
      <c r="E70" s="102">
        <v>1230819</v>
      </c>
      <c r="K70" s="1"/>
      <c r="L70" s="1"/>
    </row>
    <row r="71" spans="1:12" x14ac:dyDescent="0.25">
      <c r="A71" s="2" t="s">
        <v>384</v>
      </c>
      <c r="B71" s="68" t="s">
        <v>423</v>
      </c>
      <c r="C71" s="1" t="s">
        <v>428</v>
      </c>
      <c r="D71" s="68" t="s">
        <v>90</v>
      </c>
      <c r="E71" s="102">
        <v>657564</v>
      </c>
      <c r="K71" s="1"/>
      <c r="L71" s="1"/>
    </row>
    <row r="72" spans="1:12" x14ac:dyDescent="0.25">
      <c r="A72" s="2" t="s">
        <v>384</v>
      </c>
      <c r="B72" s="68" t="s">
        <v>423</v>
      </c>
      <c r="C72" s="1" t="s">
        <v>429</v>
      </c>
      <c r="D72" s="68" t="s">
        <v>90</v>
      </c>
      <c r="E72" s="102">
        <v>22515</v>
      </c>
      <c r="K72" s="1"/>
      <c r="L72" s="1"/>
    </row>
    <row r="73" spans="1:12" x14ac:dyDescent="0.25">
      <c r="A73" s="2" t="s">
        <v>384</v>
      </c>
      <c r="B73" s="68" t="s">
        <v>423</v>
      </c>
      <c r="C73" s="1" t="s">
        <v>429</v>
      </c>
      <c r="D73" s="68" t="s">
        <v>430</v>
      </c>
      <c r="E73" s="102">
        <v>74161</v>
      </c>
      <c r="K73" s="1"/>
      <c r="L73" s="1"/>
    </row>
    <row r="74" spans="1:12" x14ac:dyDescent="0.25">
      <c r="A74" s="2" t="s">
        <v>384</v>
      </c>
      <c r="B74" s="68" t="s">
        <v>423</v>
      </c>
      <c r="C74" s="1" t="s">
        <v>431</v>
      </c>
      <c r="D74" s="68" t="s">
        <v>90</v>
      </c>
      <c r="E74" s="102">
        <v>27530</v>
      </c>
      <c r="K74" s="1"/>
      <c r="L74" s="1"/>
    </row>
    <row r="75" spans="1:12" x14ac:dyDescent="0.25">
      <c r="A75" s="2" t="s">
        <v>384</v>
      </c>
      <c r="B75" s="68" t="s">
        <v>423</v>
      </c>
      <c r="C75" s="1" t="s">
        <v>431</v>
      </c>
      <c r="D75" s="68" t="s">
        <v>432</v>
      </c>
      <c r="E75" s="102">
        <v>57869</v>
      </c>
      <c r="K75" s="1"/>
      <c r="L75" s="1"/>
    </row>
    <row r="76" spans="1:12" x14ac:dyDescent="0.25">
      <c r="A76" s="2" t="s">
        <v>384</v>
      </c>
      <c r="B76" s="68" t="s">
        <v>423</v>
      </c>
      <c r="C76" s="1" t="s">
        <v>433</v>
      </c>
      <c r="D76" s="68" t="s">
        <v>90</v>
      </c>
      <c r="E76" s="102">
        <v>127268</v>
      </c>
      <c r="K76" s="1"/>
      <c r="L76" s="1"/>
    </row>
    <row r="77" spans="1:12" x14ac:dyDescent="0.25">
      <c r="A77" s="2" t="s">
        <v>384</v>
      </c>
      <c r="B77" s="68" t="s">
        <v>423</v>
      </c>
      <c r="C77" s="1" t="s">
        <v>434</v>
      </c>
      <c r="D77" s="68" t="s">
        <v>90</v>
      </c>
      <c r="E77" s="102">
        <v>370767</v>
      </c>
      <c r="K77" s="1"/>
      <c r="L77" s="1"/>
    </row>
    <row r="78" spans="1:12" x14ac:dyDescent="0.25">
      <c r="A78" s="2" t="s">
        <v>384</v>
      </c>
      <c r="B78" s="68" t="s">
        <v>423</v>
      </c>
      <c r="C78" s="1" t="s">
        <v>435</v>
      </c>
      <c r="D78" s="68" t="s">
        <v>90</v>
      </c>
      <c r="E78" s="102">
        <v>255298</v>
      </c>
      <c r="K78" s="1"/>
      <c r="L78" s="1"/>
    </row>
    <row r="79" spans="1:12" x14ac:dyDescent="0.25">
      <c r="A79" s="2" t="s">
        <v>384</v>
      </c>
      <c r="B79" s="68" t="s">
        <v>423</v>
      </c>
      <c r="C79" s="1" t="s">
        <v>436</v>
      </c>
      <c r="D79" s="68" t="s">
        <v>90</v>
      </c>
      <c r="E79" s="102">
        <v>28103</v>
      </c>
    </row>
    <row r="80" spans="1:12" x14ac:dyDescent="0.25">
      <c r="A80" s="2" t="s">
        <v>384</v>
      </c>
      <c r="B80" s="68" t="s">
        <v>423</v>
      </c>
      <c r="C80" s="1" t="s">
        <v>437</v>
      </c>
      <c r="D80" s="68" t="s">
        <v>90</v>
      </c>
      <c r="E80" s="102">
        <v>241509</v>
      </c>
    </row>
    <row r="81" spans="1:5" x14ac:dyDescent="0.25">
      <c r="A81" s="2" t="s">
        <v>384</v>
      </c>
      <c r="B81" s="68" t="s">
        <v>423</v>
      </c>
      <c r="C81" s="1" t="s">
        <v>438</v>
      </c>
      <c r="D81" s="68" t="s">
        <v>90</v>
      </c>
      <c r="E81" s="102">
        <v>73993</v>
      </c>
    </row>
    <row r="82" spans="1:5" x14ac:dyDescent="0.25">
      <c r="A82" s="2" t="s">
        <v>384</v>
      </c>
      <c r="B82" s="68" t="s">
        <v>423</v>
      </c>
      <c r="C82" s="1" t="s">
        <v>439</v>
      </c>
      <c r="D82" s="68" t="s">
        <v>90</v>
      </c>
      <c r="E82" s="102">
        <v>121158</v>
      </c>
    </row>
    <row r="83" spans="1:5" x14ac:dyDescent="0.25">
      <c r="A83" s="2" t="s">
        <v>384</v>
      </c>
      <c r="B83" s="68" t="s">
        <v>423</v>
      </c>
      <c r="C83" s="1" t="s">
        <v>440</v>
      </c>
      <c r="D83" s="68" t="s">
        <v>90</v>
      </c>
      <c r="E83" s="102">
        <v>13106</v>
      </c>
    </row>
    <row r="84" spans="1:5" x14ac:dyDescent="0.25">
      <c r="A84" s="2" t="s">
        <v>384</v>
      </c>
      <c r="B84" s="68" t="s">
        <v>423</v>
      </c>
      <c r="C84" s="1" t="s">
        <v>441</v>
      </c>
      <c r="D84" s="68" t="s">
        <v>90</v>
      </c>
      <c r="E84" s="102">
        <v>203265</v>
      </c>
    </row>
    <row r="85" spans="1:5" x14ac:dyDescent="0.25">
      <c r="A85" s="2" t="s">
        <v>384</v>
      </c>
      <c r="B85" s="68" t="s">
        <v>423</v>
      </c>
      <c r="C85" s="1" t="s">
        <v>442</v>
      </c>
      <c r="D85" s="68" t="s">
        <v>90</v>
      </c>
      <c r="E85" s="102">
        <v>1817456</v>
      </c>
    </row>
    <row r="86" spans="1:5" x14ac:dyDescent="0.25">
      <c r="A86" s="2" t="s">
        <v>384</v>
      </c>
      <c r="B86" s="68" t="s">
        <v>423</v>
      </c>
      <c r="C86" s="1" t="s">
        <v>443</v>
      </c>
      <c r="D86" s="68" t="s">
        <v>90</v>
      </c>
      <c r="E86" s="102">
        <v>16910</v>
      </c>
    </row>
    <row r="87" spans="1:5" x14ac:dyDescent="0.25">
      <c r="A87" s="2" t="s">
        <v>384</v>
      </c>
      <c r="B87" s="68" t="s">
        <v>423</v>
      </c>
      <c r="C87" s="1" t="s">
        <v>444</v>
      </c>
      <c r="D87" s="68" t="s">
        <v>90</v>
      </c>
      <c r="E87" s="102">
        <v>273816</v>
      </c>
    </row>
    <row r="88" spans="1:5" x14ac:dyDescent="0.25">
      <c r="A88" s="2" t="s">
        <v>384</v>
      </c>
      <c r="B88" s="68" t="s">
        <v>423</v>
      </c>
      <c r="C88" s="1" t="s">
        <v>445</v>
      </c>
      <c r="D88" s="68" t="s">
        <v>90</v>
      </c>
      <c r="E88" s="102">
        <v>477651</v>
      </c>
    </row>
    <row r="89" spans="1:5" x14ac:dyDescent="0.25">
      <c r="A89" s="2" t="s">
        <v>384</v>
      </c>
      <c r="B89" s="68" t="s">
        <v>423</v>
      </c>
      <c r="C89" s="1" t="s">
        <v>446</v>
      </c>
      <c r="D89" s="68" t="s">
        <v>90</v>
      </c>
      <c r="E89" s="102">
        <v>213229</v>
      </c>
    </row>
    <row r="90" spans="1:5" x14ac:dyDescent="0.25">
      <c r="A90" s="2" t="s">
        <v>384</v>
      </c>
      <c r="B90" s="68" t="s">
        <v>423</v>
      </c>
      <c r="C90" s="1" t="s">
        <v>447</v>
      </c>
      <c r="D90" s="68" t="s">
        <v>90</v>
      </c>
      <c r="E90" s="102">
        <v>5943</v>
      </c>
    </row>
    <row r="91" spans="1:5" x14ac:dyDescent="0.25">
      <c r="A91" s="2" t="s">
        <v>384</v>
      </c>
      <c r="B91" s="68" t="s">
        <v>423</v>
      </c>
      <c r="C91" s="1" t="s">
        <v>448</v>
      </c>
      <c r="D91" s="68" t="s">
        <v>90</v>
      </c>
      <c r="E91" s="102">
        <v>613344</v>
      </c>
    </row>
    <row r="92" spans="1:5" x14ac:dyDescent="0.25">
      <c r="A92" s="2" t="s">
        <v>384</v>
      </c>
      <c r="B92" s="68" t="s">
        <v>423</v>
      </c>
      <c r="C92" s="1" t="s">
        <v>449</v>
      </c>
      <c r="D92" s="68" t="s">
        <v>90</v>
      </c>
      <c r="E92" s="102">
        <v>98626</v>
      </c>
    </row>
    <row r="93" spans="1:5" x14ac:dyDescent="0.25">
      <c r="A93" s="2" t="s">
        <v>384</v>
      </c>
      <c r="B93" s="68" t="s">
        <v>423</v>
      </c>
      <c r="C93" s="1" t="s">
        <v>450</v>
      </c>
      <c r="D93" s="68" t="s">
        <v>90</v>
      </c>
      <c r="E93" s="102">
        <v>301535</v>
      </c>
    </row>
    <row r="94" spans="1:5" x14ac:dyDescent="0.25">
      <c r="A94" s="2" t="s">
        <v>384</v>
      </c>
      <c r="B94" s="68" t="s">
        <v>423</v>
      </c>
      <c r="C94" s="1" t="s">
        <v>451</v>
      </c>
      <c r="D94" s="68" t="s">
        <v>90</v>
      </c>
      <c r="E94" s="102">
        <v>62276</v>
      </c>
    </row>
    <row r="95" spans="1:5" x14ac:dyDescent="0.25">
      <c r="A95" s="2" t="s">
        <v>384</v>
      </c>
      <c r="B95" s="68" t="s">
        <v>423</v>
      </c>
      <c r="C95" s="1" t="s">
        <v>452</v>
      </c>
      <c r="D95" s="68" t="s">
        <v>90</v>
      </c>
      <c r="E95" s="102">
        <v>191212</v>
      </c>
    </row>
    <row r="96" spans="1:5" x14ac:dyDescent="0.25">
      <c r="A96" s="2" t="s">
        <v>384</v>
      </c>
      <c r="B96" s="68" t="s">
        <v>423</v>
      </c>
      <c r="C96" s="1" t="s">
        <v>453</v>
      </c>
      <c r="D96" s="68" t="s">
        <v>90</v>
      </c>
      <c r="E96" s="102">
        <v>256307</v>
      </c>
    </row>
    <row r="97" spans="1:8" x14ac:dyDescent="0.25">
      <c r="A97" s="2" t="s">
        <v>384</v>
      </c>
      <c r="B97" s="68" t="s">
        <v>454</v>
      </c>
      <c r="C97" s="1" t="s">
        <v>455</v>
      </c>
      <c r="D97" s="68" t="s">
        <v>90</v>
      </c>
      <c r="E97" s="102">
        <v>2154859</v>
      </c>
    </row>
    <row r="98" spans="1:8" x14ac:dyDescent="0.25">
      <c r="A98" s="2" t="s">
        <v>384</v>
      </c>
      <c r="B98" s="68" t="s">
        <v>454</v>
      </c>
      <c r="C98" s="1" t="s">
        <v>455</v>
      </c>
      <c r="D98" s="68" t="s">
        <v>456</v>
      </c>
      <c r="E98" s="102">
        <v>10706</v>
      </c>
    </row>
    <row r="99" spans="1:8" x14ac:dyDescent="0.25">
      <c r="A99" s="2" t="s">
        <v>384</v>
      </c>
      <c r="B99" s="68" t="s">
        <v>454</v>
      </c>
      <c r="C99" s="1" t="s">
        <v>455</v>
      </c>
      <c r="D99" s="68" t="s">
        <v>457</v>
      </c>
      <c r="E99" s="102">
        <v>1064561</v>
      </c>
    </row>
    <row r="100" spans="1:8" x14ac:dyDescent="0.25">
      <c r="A100" s="2" t="s">
        <v>384</v>
      </c>
      <c r="B100" s="68" t="s">
        <v>454</v>
      </c>
      <c r="C100" s="1" t="s">
        <v>455</v>
      </c>
      <c r="D100" s="68" t="s">
        <v>458</v>
      </c>
      <c r="E100" s="102">
        <v>52795</v>
      </c>
    </row>
    <row r="101" spans="1:8" x14ac:dyDescent="0.25">
      <c r="A101" s="2" t="s">
        <v>384</v>
      </c>
      <c r="B101" s="68" t="s">
        <v>454</v>
      </c>
      <c r="C101" s="1" t="s">
        <v>455</v>
      </c>
      <c r="D101" s="68" t="s">
        <v>459</v>
      </c>
      <c r="E101" s="102">
        <v>220383</v>
      </c>
    </row>
    <row r="102" spans="1:8" x14ac:dyDescent="0.25">
      <c r="A102" s="2" t="s">
        <v>384</v>
      </c>
      <c r="B102" s="68" t="s">
        <v>454</v>
      </c>
      <c r="C102" s="1" t="s">
        <v>455</v>
      </c>
      <c r="D102" s="68" t="s">
        <v>460</v>
      </c>
      <c r="E102" s="102">
        <v>271844</v>
      </c>
    </row>
    <row r="103" spans="1:8" x14ac:dyDescent="0.25">
      <c r="A103" s="2" t="s">
        <v>384</v>
      </c>
      <c r="B103" s="68" t="s">
        <v>454</v>
      </c>
      <c r="C103" s="1" t="s">
        <v>455</v>
      </c>
      <c r="D103" s="68" t="s">
        <v>461</v>
      </c>
      <c r="E103" s="102">
        <v>28117</v>
      </c>
    </row>
    <row r="104" spans="1:8" x14ac:dyDescent="0.25">
      <c r="A104" s="2" t="s">
        <v>384</v>
      </c>
      <c r="B104" s="68" t="s">
        <v>454</v>
      </c>
      <c r="C104" s="1" t="s">
        <v>455</v>
      </c>
      <c r="D104" s="122" t="s">
        <v>462</v>
      </c>
      <c r="E104" s="99">
        <v>695432</v>
      </c>
    </row>
    <row r="105" spans="1:8" x14ac:dyDescent="0.25">
      <c r="A105" s="2" t="s">
        <v>384</v>
      </c>
      <c r="B105" s="68" t="s">
        <v>454</v>
      </c>
      <c r="C105" s="1" t="s">
        <v>455</v>
      </c>
      <c r="D105" s="122" t="s">
        <v>463</v>
      </c>
      <c r="E105" s="99">
        <v>907824</v>
      </c>
    </row>
    <row r="106" spans="1:8" x14ac:dyDescent="0.25">
      <c r="A106" s="2" t="s">
        <v>384</v>
      </c>
      <c r="B106" s="68" t="s">
        <v>464</v>
      </c>
      <c r="C106" s="1" t="s">
        <v>465</v>
      </c>
      <c r="D106" s="122" t="s">
        <v>90</v>
      </c>
      <c r="E106" s="99">
        <v>223156</v>
      </c>
    </row>
    <row r="107" spans="1:8" x14ac:dyDescent="0.25">
      <c r="A107" s="2" t="s">
        <v>384</v>
      </c>
      <c r="B107" s="68" t="s">
        <v>464</v>
      </c>
      <c r="C107" s="1" t="s">
        <v>466</v>
      </c>
      <c r="D107" s="68" t="s">
        <v>90</v>
      </c>
      <c r="E107" s="72">
        <v>16278</v>
      </c>
    </row>
    <row r="108" spans="1:8" x14ac:dyDescent="0.25">
      <c r="A108" s="2" t="s">
        <v>384</v>
      </c>
      <c r="B108" s="68" t="s">
        <v>464</v>
      </c>
      <c r="C108" s="1" t="s">
        <v>467</v>
      </c>
      <c r="D108" s="122" t="s">
        <v>90</v>
      </c>
      <c r="E108" s="99">
        <v>109072</v>
      </c>
    </row>
    <row r="109" spans="1:8" x14ac:dyDescent="0.25">
      <c r="A109" t="s">
        <v>384</v>
      </c>
      <c r="B109" s="80" t="s">
        <v>464</v>
      </c>
      <c r="C109" s="156" t="s">
        <v>468</v>
      </c>
      <c r="D109" s="80" t="s">
        <v>90</v>
      </c>
      <c r="E109" s="25">
        <v>25943</v>
      </c>
      <c r="F109"/>
      <c r="H109"/>
    </row>
    <row r="110" spans="1:8" x14ac:dyDescent="0.25">
      <c r="A110" t="s">
        <v>384</v>
      </c>
      <c r="B110" s="80" t="s">
        <v>464</v>
      </c>
      <c r="C110" s="156" t="s">
        <v>469</v>
      </c>
      <c r="D110" s="80" t="s">
        <v>90</v>
      </c>
      <c r="E110" s="25">
        <v>68166</v>
      </c>
      <c r="F110"/>
      <c r="H110"/>
    </row>
    <row r="111" spans="1:8" x14ac:dyDescent="0.25">
      <c r="A111" t="s">
        <v>384</v>
      </c>
      <c r="B111" s="80" t="s">
        <v>464</v>
      </c>
      <c r="C111" s="156" t="s">
        <v>470</v>
      </c>
      <c r="D111" s="80" t="s">
        <v>90</v>
      </c>
      <c r="E111" s="25">
        <v>50332</v>
      </c>
      <c r="F111"/>
      <c r="H111"/>
    </row>
    <row r="112" spans="1:8" x14ac:dyDescent="0.25">
      <c r="A112" t="s">
        <v>384</v>
      </c>
      <c r="B112" s="80" t="s">
        <v>464</v>
      </c>
      <c r="C112" s="156" t="s">
        <v>471</v>
      </c>
      <c r="D112" s="80" t="s">
        <v>90</v>
      </c>
      <c r="E112" s="25">
        <v>110797</v>
      </c>
      <c r="F112"/>
      <c r="H112"/>
    </row>
    <row r="113" spans="1:8" x14ac:dyDescent="0.25">
      <c r="A113" t="s">
        <v>384</v>
      </c>
      <c r="B113" s="80" t="s">
        <v>464</v>
      </c>
      <c r="C113" s="156" t="s">
        <v>472</v>
      </c>
      <c r="D113" s="80" t="s">
        <v>90</v>
      </c>
      <c r="E113" s="25">
        <v>8287</v>
      </c>
      <c r="F113"/>
      <c r="H113"/>
    </row>
    <row r="114" spans="1:8" x14ac:dyDescent="0.25">
      <c r="A114" t="s">
        <v>384</v>
      </c>
      <c r="B114" s="80" t="s">
        <v>473</v>
      </c>
      <c r="C114" s="156" t="s">
        <v>474</v>
      </c>
      <c r="D114" s="80" t="s">
        <v>90</v>
      </c>
      <c r="E114" s="25">
        <v>8193</v>
      </c>
      <c r="F114"/>
      <c r="H114"/>
    </row>
    <row r="115" spans="1:8" x14ac:dyDescent="0.25">
      <c r="A115" t="s">
        <v>384</v>
      </c>
      <c r="B115" s="80" t="s">
        <v>473</v>
      </c>
      <c r="C115" s="156" t="s">
        <v>475</v>
      </c>
      <c r="D115" s="80" t="s">
        <v>90</v>
      </c>
      <c r="E115" s="25">
        <v>82964</v>
      </c>
      <c r="F115"/>
      <c r="H115"/>
    </row>
    <row r="116" spans="1:8" x14ac:dyDescent="0.25">
      <c r="A116" t="s">
        <v>384</v>
      </c>
      <c r="B116" s="80" t="s">
        <v>476</v>
      </c>
      <c r="C116" s="156" t="s">
        <v>477</v>
      </c>
      <c r="D116" s="80" t="s">
        <v>90</v>
      </c>
      <c r="E116" s="25">
        <v>563893</v>
      </c>
      <c r="F116"/>
      <c r="H116"/>
    </row>
    <row r="117" spans="1:8" x14ac:dyDescent="0.25">
      <c r="A117" t="s">
        <v>384</v>
      </c>
      <c r="B117" s="80" t="s">
        <v>476</v>
      </c>
      <c r="C117" s="156" t="s">
        <v>478</v>
      </c>
      <c r="D117" s="80" t="s">
        <v>90</v>
      </c>
      <c r="E117" s="25">
        <v>759</v>
      </c>
      <c r="F117"/>
      <c r="H117"/>
    </row>
    <row r="118" spans="1:8" x14ac:dyDescent="0.25">
      <c r="A118" t="s">
        <v>384</v>
      </c>
      <c r="B118" s="80" t="s">
        <v>476</v>
      </c>
      <c r="C118" s="156" t="s">
        <v>479</v>
      </c>
      <c r="D118" s="80" t="s">
        <v>256</v>
      </c>
      <c r="E118" s="25">
        <v>6349</v>
      </c>
      <c r="F118"/>
      <c r="H118"/>
    </row>
    <row r="119" spans="1:8" x14ac:dyDescent="0.25">
      <c r="A119" t="s">
        <v>384</v>
      </c>
      <c r="B119" s="80" t="s">
        <v>476</v>
      </c>
      <c r="C119" s="156" t="s">
        <v>480</v>
      </c>
      <c r="D119" s="80" t="s">
        <v>90</v>
      </c>
      <c r="E119" s="25">
        <v>9357</v>
      </c>
      <c r="F119"/>
      <c r="H119" s="114"/>
    </row>
    <row r="120" spans="1:8" x14ac:dyDescent="0.25">
      <c r="A120" s="2" t="s">
        <v>384</v>
      </c>
      <c r="B120" s="68" t="s">
        <v>476</v>
      </c>
      <c r="C120" s="1" t="s">
        <v>481</v>
      </c>
      <c r="D120" s="68" t="s">
        <v>90</v>
      </c>
      <c r="E120" s="72">
        <v>21857</v>
      </c>
      <c r="H120" s="115"/>
    </row>
    <row r="121" spans="1:8" x14ac:dyDescent="0.25">
      <c r="A121" s="2" t="s">
        <v>384</v>
      </c>
      <c r="B121" s="68" t="s">
        <v>476</v>
      </c>
      <c r="C121" s="1" t="s">
        <v>482</v>
      </c>
      <c r="D121" s="68" t="s">
        <v>90</v>
      </c>
      <c r="E121" s="72">
        <v>2238</v>
      </c>
    </row>
    <row r="122" spans="1:8" x14ac:dyDescent="0.25">
      <c r="A122" s="2" t="s">
        <v>384</v>
      </c>
      <c r="B122" s="68" t="s">
        <v>476</v>
      </c>
      <c r="C122" s="1" t="s">
        <v>483</v>
      </c>
      <c r="D122" s="68" t="s">
        <v>90</v>
      </c>
      <c r="E122" s="72">
        <v>1756</v>
      </c>
    </row>
    <row r="123" spans="1:8" x14ac:dyDescent="0.25">
      <c r="A123" s="2" t="s">
        <v>384</v>
      </c>
      <c r="B123" s="68" t="s">
        <v>484</v>
      </c>
      <c r="C123" s="1" t="s">
        <v>485</v>
      </c>
      <c r="D123" s="68" t="s">
        <v>90</v>
      </c>
      <c r="E123" s="72">
        <v>108611</v>
      </c>
    </row>
    <row r="124" spans="1:8" x14ac:dyDescent="0.25">
      <c r="A124" s="2" t="s">
        <v>384</v>
      </c>
      <c r="B124" s="68" t="s">
        <v>230</v>
      </c>
      <c r="C124" s="1" t="s">
        <v>486</v>
      </c>
      <c r="D124" s="68" t="s">
        <v>90</v>
      </c>
      <c r="E124" s="72">
        <v>13235</v>
      </c>
    </row>
    <row r="125" spans="1:8" x14ac:dyDescent="0.25">
      <c r="A125" s="2" t="s">
        <v>384</v>
      </c>
      <c r="B125" s="68" t="s">
        <v>230</v>
      </c>
      <c r="C125" s="1" t="s">
        <v>487</v>
      </c>
      <c r="D125" s="68" t="s">
        <v>90</v>
      </c>
      <c r="E125" s="72">
        <v>82747</v>
      </c>
    </row>
    <row r="126" spans="1:8" x14ac:dyDescent="0.25">
      <c r="A126" s="2" t="s">
        <v>488</v>
      </c>
      <c r="B126" s="68" t="s">
        <v>385</v>
      </c>
      <c r="C126" s="1" t="s">
        <v>489</v>
      </c>
      <c r="D126" s="68" t="s">
        <v>90</v>
      </c>
      <c r="E126" s="72">
        <v>5529</v>
      </c>
    </row>
    <row r="127" spans="1:8" x14ac:dyDescent="0.25">
      <c r="A127" s="2" t="s">
        <v>488</v>
      </c>
      <c r="B127" s="68" t="s">
        <v>385</v>
      </c>
      <c r="C127" s="1" t="s">
        <v>490</v>
      </c>
      <c r="D127" s="68" t="s">
        <v>90</v>
      </c>
      <c r="E127" s="72">
        <v>180</v>
      </c>
    </row>
    <row r="128" spans="1:8" x14ac:dyDescent="0.25">
      <c r="A128" s="2" t="s">
        <v>488</v>
      </c>
      <c r="B128" s="68" t="s">
        <v>385</v>
      </c>
      <c r="C128" s="1" t="s">
        <v>491</v>
      </c>
      <c r="D128" s="68" t="s">
        <v>90</v>
      </c>
      <c r="E128" s="72">
        <v>13435</v>
      </c>
    </row>
    <row r="129" spans="1:5" x14ac:dyDescent="0.25">
      <c r="A129" s="2" t="s">
        <v>488</v>
      </c>
      <c r="B129" s="68" t="s">
        <v>385</v>
      </c>
      <c r="C129" s="1" t="s">
        <v>492</v>
      </c>
      <c r="D129" s="68" t="s">
        <v>90</v>
      </c>
      <c r="E129" s="72">
        <v>369</v>
      </c>
    </row>
    <row r="130" spans="1:5" x14ac:dyDescent="0.25">
      <c r="A130" s="2" t="s">
        <v>488</v>
      </c>
      <c r="B130" s="68" t="s">
        <v>385</v>
      </c>
      <c r="C130" s="1" t="s">
        <v>390</v>
      </c>
      <c r="D130" s="68" t="s">
        <v>90</v>
      </c>
      <c r="E130" s="72">
        <v>26203</v>
      </c>
    </row>
    <row r="131" spans="1:5" x14ac:dyDescent="0.25">
      <c r="A131" s="2" t="s">
        <v>488</v>
      </c>
      <c r="B131" s="68" t="s">
        <v>385</v>
      </c>
      <c r="C131" s="1" t="s">
        <v>391</v>
      </c>
      <c r="D131" s="68" t="s">
        <v>90</v>
      </c>
      <c r="E131" s="72">
        <v>1350</v>
      </c>
    </row>
    <row r="132" spans="1:5" x14ac:dyDescent="0.25">
      <c r="A132" s="2" t="s">
        <v>488</v>
      </c>
      <c r="B132" s="68" t="s">
        <v>385</v>
      </c>
      <c r="C132" s="1" t="s">
        <v>493</v>
      </c>
      <c r="D132" s="68" t="s">
        <v>90</v>
      </c>
      <c r="E132" s="72">
        <v>54000</v>
      </c>
    </row>
    <row r="133" spans="1:5" x14ac:dyDescent="0.25">
      <c r="A133" s="2" t="s">
        <v>488</v>
      </c>
      <c r="B133" s="68" t="s">
        <v>385</v>
      </c>
      <c r="C133" s="1" t="s">
        <v>494</v>
      </c>
      <c r="D133" s="68" t="s">
        <v>90</v>
      </c>
      <c r="E133" s="72">
        <v>49500</v>
      </c>
    </row>
    <row r="134" spans="1:5" x14ac:dyDescent="0.25">
      <c r="A134" s="2" t="s">
        <v>488</v>
      </c>
      <c r="B134" s="68" t="s">
        <v>385</v>
      </c>
      <c r="C134" s="1" t="s">
        <v>495</v>
      </c>
      <c r="D134" s="68" t="s">
        <v>90</v>
      </c>
      <c r="E134" s="72">
        <v>1800</v>
      </c>
    </row>
    <row r="135" spans="1:5" x14ac:dyDescent="0.25">
      <c r="A135" s="2" t="s">
        <v>488</v>
      </c>
      <c r="B135" s="68" t="s">
        <v>385</v>
      </c>
      <c r="C135" s="1" t="s">
        <v>496</v>
      </c>
      <c r="D135" s="68" t="s">
        <v>90</v>
      </c>
      <c r="E135" s="72">
        <v>46932</v>
      </c>
    </row>
    <row r="136" spans="1:5" x14ac:dyDescent="0.25">
      <c r="A136" s="2" t="s">
        <v>488</v>
      </c>
      <c r="B136" s="68" t="s">
        <v>385</v>
      </c>
      <c r="C136" s="1" t="s">
        <v>413</v>
      </c>
      <c r="D136" s="68" t="s">
        <v>90</v>
      </c>
      <c r="E136" s="72">
        <v>60101</v>
      </c>
    </row>
    <row r="137" spans="1:5" x14ac:dyDescent="0.25">
      <c r="A137" s="2" t="s">
        <v>488</v>
      </c>
      <c r="B137" s="68" t="s">
        <v>385</v>
      </c>
      <c r="C137" s="1" t="s">
        <v>414</v>
      </c>
      <c r="D137" s="68" t="s">
        <v>90</v>
      </c>
      <c r="E137" s="72">
        <v>17941</v>
      </c>
    </row>
    <row r="138" spans="1:5" x14ac:dyDescent="0.25">
      <c r="A138" s="2" t="s">
        <v>488</v>
      </c>
      <c r="B138" s="68" t="s">
        <v>385</v>
      </c>
      <c r="C138" s="1" t="s">
        <v>497</v>
      </c>
      <c r="D138" s="68" t="s">
        <v>90</v>
      </c>
      <c r="E138" s="72">
        <v>32820</v>
      </c>
    </row>
    <row r="139" spans="1:5" x14ac:dyDescent="0.25">
      <c r="A139" s="2" t="s">
        <v>488</v>
      </c>
      <c r="B139" s="68" t="s">
        <v>385</v>
      </c>
      <c r="C139" s="1" t="s">
        <v>498</v>
      </c>
      <c r="D139" s="68" t="s">
        <v>90</v>
      </c>
      <c r="E139" s="72">
        <v>37893</v>
      </c>
    </row>
    <row r="140" spans="1:5" x14ac:dyDescent="0.25">
      <c r="A140" s="2" t="s">
        <v>488</v>
      </c>
      <c r="B140" s="68" t="s">
        <v>385</v>
      </c>
      <c r="C140" s="1" t="s">
        <v>499</v>
      </c>
      <c r="D140" s="68" t="s">
        <v>259</v>
      </c>
      <c r="E140" s="72">
        <v>22500</v>
      </c>
    </row>
    <row r="141" spans="1:5" x14ac:dyDescent="0.25">
      <c r="A141" s="2" t="s">
        <v>488</v>
      </c>
      <c r="B141" s="68" t="s">
        <v>385</v>
      </c>
      <c r="C141" s="1" t="s">
        <v>420</v>
      </c>
      <c r="D141" s="68" t="s">
        <v>90</v>
      </c>
      <c r="E141" s="72">
        <v>21649</v>
      </c>
    </row>
    <row r="142" spans="1:5" x14ac:dyDescent="0.25">
      <c r="A142" s="2" t="s">
        <v>488</v>
      </c>
      <c r="B142" s="68" t="s">
        <v>385</v>
      </c>
      <c r="C142" s="1" t="s">
        <v>420</v>
      </c>
      <c r="D142" s="68" t="s">
        <v>500</v>
      </c>
      <c r="E142" s="72">
        <v>9753</v>
      </c>
    </row>
    <row r="143" spans="1:5" x14ac:dyDescent="0.25">
      <c r="A143" s="2" t="s">
        <v>488</v>
      </c>
      <c r="B143" s="68" t="s">
        <v>385</v>
      </c>
      <c r="C143" s="1" t="s">
        <v>501</v>
      </c>
      <c r="D143" s="68" t="s">
        <v>90</v>
      </c>
      <c r="E143" s="72">
        <v>3724</v>
      </c>
    </row>
    <row r="144" spans="1:5" x14ac:dyDescent="0.25">
      <c r="A144" s="2" t="s">
        <v>488</v>
      </c>
      <c r="B144" s="68" t="s">
        <v>454</v>
      </c>
      <c r="C144" s="1" t="s">
        <v>455</v>
      </c>
      <c r="D144" s="68" t="s">
        <v>90</v>
      </c>
      <c r="E144" s="72">
        <v>15991</v>
      </c>
    </row>
    <row r="145" spans="1:5" x14ac:dyDescent="0.25">
      <c r="A145" s="2" t="s">
        <v>488</v>
      </c>
      <c r="B145" s="68" t="s">
        <v>454</v>
      </c>
      <c r="C145" s="1" t="s">
        <v>455</v>
      </c>
      <c r="D145" s="68" t="s">
        <v>457</v>
      </c>
      <c r="E145" s="72">
        <v>662775</v>
      </c>
    </row>
    <row r="146" spans="1:5" x14ac:dyDescent="0.25">
      <c r="A146" s="2" t="s">
        <v>488</v>
      </c>
      <c r="B146" s="68" t="s">
        <v>454</v>
      </c>
      <c r="C146" s="1" t="s">
        <v>455</v>
      </c>
      <c r="D146" s="68" t="s">
        <v>458</v>
      </c>
      <c r="E146" s="72">
        <v>1794</v>
      </c>
    </row>
    <row r="147" spans="1:5" x14ac:dyDescent="0.25">
      <c r="A147" s="2" t="s">
        <v>488</v>
      </c>
      <c r="B147" s="68" t="s">
        <v>464</v>
      </c>
      <c r="C147" s="1" t="s">
        <v>502</v>
      </c>
      <c r="D147" s="68" t="s">
        <v>90</v>
      </c>
      <c r="E147" s="72">
        <v>450</v>
      </c>
    </row>
    <row r="148" spans="1:5" x14ac:dyDescent="0.25">
      <c r="A148" s="2" t="s">
        <v>488</v>
      </c>
      <c r="B148" s="68" t="s">
        <v>464</v>
      </c>
      <c r="C148" s="1" t="s">
        <v>502</v>
      </c>
      <c r="D148" s="68" t="s">
        <v>503</v>
      </c>
      <c r="E148" s="72">
        <v>450</v>
      </c>
    </row>
    <row r="149" spans="1:5" x14ac:dyDescent="0.25">
      <c r="A149" s="2" t="s">
        <v>488</v>
      </c>
      <c r="B149" s="68" t="s">
        <v>464</v>
      </c>
      <c r="C149" s="1" t="s">
        <v>472</v>
      </c>
      <c r="D149" s="68" t="s">
        <v>90</v>
      </c>
      <c r="E149" s="72">
        <v>5985</v>
      </c>
    </row>
    <row r="150" spans="1:5" x14ac:dyDescent="0.25">
      <c r="A150" s="2" t="s">
        <v>488</v>
      </c>
      <c r="B150" s="68" t="s">
        <v>473</v>
      </c>
      <c r="C150" s="1" t="s">
        <v>474</v>
      </c>
      <c r="D150" s="68" t="s">
        <v>90</v>
      </c>
      <c r="E150" s="72">
        <v>4209</v>
      </c>
    </row>
    <row r="151" spans="1:5" x14ac:dyDescent="0.25">
      <c r="A151" s="2" t="s">
        <v>488</v>
      </c>
      <c r="B151" s="68" t="s">
        <v>476</v>
      </c>
      <c r="C151" s="1" t="s">
        <v>504</v>
      </c>
      <c r="D151" s="68" t="s">
        <v>90</v>
      </c>
      <c r="E151" s="72">
        <v>9749</v>
      </c>
    </row>
    <row r="152" spans="1:5" x14ac:dyDescent="0.25">
      <c r="A152" s="2" t="s">
        <v>488</v>
      </c>
      <c r="B152" s="68" t="s">
        <v>476</v>
      </c>
      <c r="C152" s="1" t="s">
        <v>505</v>
      </c>
      <c r="D152" s="68" t="s">
        <v>90</v>
      </c>
      <c r="E152" s="72">
        <v>51327</v>
      </c>
    </row>
    <row r="153" spans="1:5" x14ac:dyDescent="0.25">
      <c r="A153" s="2" t="s">
        <v>488</v>
      </c>
      <c r="B153" s="68" t="s">
        <v>476</v>
      </c>
      <c r="C153" s="1" t="s">
        <v>479</v>
      </c>
      <c r="D153" s="68" t="s">
        <v>90</v>
      </c>
      <c r="E153" s="72">
        <v>5472</v>
      </c>
    </row>
    <row r="154" spans="1:5" x14ac:dyDescent="0.25">
      <c r="A154" s="2" t="s">
        <v>488</v>
      </c>
      <c r="B154" s="68" t="s">
        <v>476</v>
      </c>
      <c r="C154" s="1" t="s">
        <v>480</v>
      </c>
      <c r="D154" s="68" t="s">
        <v>90</v>
      </c>
      <c r="E154" s="72">
        <v>11016</v>
      </c>
    </row>
    <row r="155" spans="1:5" x14ac:dyDescent="0.25">
      <c r="A155" s="2" t="s">
        <v>488</v>
      </c>
      <c r="B155" s="68" t="s">
        <v>484</v>
      </c>
      <c r="C155" s="1" t="s">
        <v>485</v>
      </c>
      <c r="D155" s="68" t="s">
        <v>90</v>
      </c>
      <c r="E155" s="72">
        <v>240149</v>
      </c>
    </row>
    <row r="156" spans="1:5" x14ac:dyDescent="0.25">
      <c r="A156" s="2" t="s">
        <v>488</v>
      </c>
      <c r="B156" s="68" t="s">
        <v>484</v>
      </c>
      <c r="C156" s="1" t="s">
        <v>506</v>
      </c>
      <c r="D156" s="68" t="s">
        <v>90</v>
      </c>
      <c r="E156" s="72">
        <v>153096</v>
      </c>
    </row>
    <row r="157" spans="1:5" x14ac:dyDescent="0.25">
      <c r="A157" s="2" t="s">
        <v>488</v>
      </c>
      <c r="B157" s="68" t="s">
        <v>484</v>
      </c>
      <c r="C157" s="1" t="s">
        <v>507</v>
      </c>
      <c r="D157" s="68" t="s">
        <v>90</v>
      </c>
      <c r="E157" s="72">
        <v>243573</v>
      </c>
    </row>
    <row r="158" spans="1:5" x14ac:dyDescent="0.25">
      <c r="A158" s="2" t="s">
        <v>488</v>
      </c>
      <c r="B158" s="68" t="s">
        <v>484</v>
      </c>
      <c r="C158" s="1" t="s">
        <v>508</v>
      </c>
      <c r="D158" s="68" t="s">
        <v>90</v>
      </c>
      <c r="E158" s="72">
        <v>86198</v>
      </c>
    </row>
    <row r="159" spans="1:5" x14ac:dyDescent="0.25">
      <c r="A159" s="2" t="s">
        <v>509</v>
      </c>
      <c r="B159" s="68" t="s">
        <v>385</v>
      </c>
      <c r="C159" s="1" t="s">
        <v>510</v>
      </c>
      <c r="D159" s="68" t="s">
        <v>511</v>
      </c>
      <c r="E159" s="72">
        <v>31735</v>
      </c>
    </row>
    <row r="160" spans="1:5" x14ac:dyDescent="0.25">
      <c r="A160" s="2" t="s">
        <v>509</v>
      </c>
      <c r="B160" s="68" t="s">
        <v>385</v>
      </c>
      <c r="C160" s="1" t="s">
        <v>510</v>
      </c>
      <c r="D160" s="68" t="s">
        <v>512</v>
      </c>
      <c r="E160" s="72">
        <v>27347</v>
      </c>
    </row>
    <row r="161" spans="1:5" x14ac:dyDescent="0.25">
      <c r="A161" s="2" t="s">
        <v>509</v>
      </c>
      <c r="B161" s="68" t="s">
        <v>385</v>
      </c>
      <c r="C161" s="1" t="s">
        <v>513</v>
      </c>
      <c r="D161" s="68" t="s">
        <v>514</v>
      </c>
      <c r="E161" s="72">
        <v>23994</v>
      </c>
    </row>
    <row r="162" spans="1:5" x14ac:dyDescent="0.25">
      <c r="A162" s="2" t="s">
        <v>509</v>
      </c>
      <c r="B162" s="68" t="s">
        <v>385</v>
      </c>
      <c r="C162" s="1" t="s">
        <v>389</v>
      </c>
      <c r="D162" s="68" t="s">
        <v>515</v>
      </c>
      <c r="E162" s="72">
        <v>37111</v>
      </c>
    </row>
    <row r="163" spans="1:5" x14ac:dyDescent="0.25">
      <c r="A163" s="2" t="s">
        <v>509</v>
      </c>
      <c r="B163" s="68" t="s">
        <v>385</v>
      </c>
      <c r="C163" s="1" t="s">
        <v>516</v>
      </c>
      <c r="D163" s="68" t="s">
        <v>517</v>
      </c>
      <c r="E163" s="72">
        <v>2812</v>
      </c>
    </row>
    <row r="164" spans="1:5" x14ac:dyDescent="0.25">
      <c r="A164" s="2" t="s">
        <v>509</v>
      </c>
      <c r="B164" s="68" t="s">
        <v>385</v>
      </c>
      <c r="C164" s="1" t="s">
        <v>516</v>
      </c>
      <c r="D164" s="68" t="s">
        <v>518</v>
      </c>
      <c r="E164" s="72">
        <v>22228</v>
      </c>
    </row>
    <row r="165" spans="1:5" x14ac:dyDescent="0.25">
      <c r="A165" s="2" t="s">
        <v>509</v>
      </c>
      <c r="B165" s="68" t="s">
        <v>385</v>
      </c>
      <c r="C165" s="1" t="s">
        <v>516</v>
      </c>
      <c r="D165" s="68" t="s">
        <v>519</v>
      </c>
      <c r="E165" s="72">
        <v>23437</v>
      </c>
    </row>
    <row r="166" spans="1:5" x14ac:dyDescent="0.25">
      <c r="A166" s="2" t="s">
        <v>509</v>
      </c>
      <c r="B166" s="68" t="s">
        <v>385</v>
      </c>
      <c r="C166" s="1" t="s">
        <v>396</v>
      </c>
      <c r="D166" s="68" t="s">
        <v>520</v>
      </c>
      <c r="E166" s="72">
        <v>148124</v>
      </c>
    </row>
    <row r="167" spans="1:5" x14ac:dyDescent="0.25">
      <c r="A167" s="2" t="s">
        <v>509</v>
      </c>
      <c r="B167" s="68" t="s">
        <v>385</v>
      </c>
      <c r="C167" s="1" t="s">
        <v>396</v>
      </c>
      <c r="D167" s="68" t="s">
        <v>521</v>
      </c>
      <c r="E167" s="72">
        <v>71316</v>
      </c>
    </row>
    <row r="168" spans="1:5" x14ac:dyDescent="0.25">
      <c r="A168" s="2" t="s">
        <v>509</v>
      </c>
      <c r="B168" s="68" t="s">
        <v>385</v>
      </c>
      <c r="C168" s="1" t="s">
        <v>396</v>
      </c>
      <c r="D168" s="68" t="s">
        <v>515</v>
      </c>
      <c r="E168" s="72">
        <v>21377</v>
      </c>
    </row>
    <row r="169" spans="1:5" x14ac:dyDescent="0.25">
      <c r="A169" s="2" t="s">
        <v>509</v>
      </c>
      <c r="B169" s="68" t="s">
        <v>385</v>
      </c>
      <c r="C169" s="1" t="s">
        <v>522</v>
      </c>
      <c r="D169" s="68" t="s">
        <v>520</v>
      </c>
      <c r="E169" s="72">
        <v>13435</v>
      </c>
    </row>
    <row r="170" spans="1:5" x14ac:dyDescent="0.25">
      <c r="A170" s="2" t="s">
        <v>509</v>
      </c>
      <c r="B170" s="68" t="s">
        <v>385</v>
      </c>
      <c r="C170" s="1" t="s">
        <v>523</v>
      </c>
      <c r="D170" s="68" t="s">
        <v>524</v>
      </c>
      <c r="E170" s="72">
        <v>55648</v>
      </c>
    </row>
    <row r="171" spans="1:5" x14ac:dyDescent="0.25">
      <c r="A171" s="2" t="s">
        <v>509</v>
      </c>
      <c r="B171" s="68" t="s">
        <v>385</v>
      </c>
      <c r="C171" s="1" t="s">
        <v>523</v>
      </c>
      <c r="D171" s="68" t="s">
        <v>525</v>
      </c>
      <c r="E171" s="72">
        <v>33993</v>
      </c>
    </row>
    <row r="172" spans="1:5" x14ac:dyDescent="0.25">
      <c r="A172" s="2" t="s">
        <v>509</v>
      </c>
      <c r="B172" s="68" t="s">
        <v>385</v>
      </c>
      <c r="C172" s="1" t="s">
        <v>523</v>
      </c>
      <c r="D172" s="68" t="s">
        <v>526</v>
      </c>
      <c r="E172" s="72">
        <v>24891</v>
      </c>
    </row>
    <row r="173" spans="1:5" x14ac:dyDescent="0.25">
      <c r="A173" s="2" t="s">
        <v>509</v>
      </c>
      <c r="B173" s="68" t="s">
        <v>385</v>
      </c>
      <c r="C173" s="1" t="s">
        <v>523</v>
      </c>
      <c r="D173" s="68" t="s">
        <v>527</v>
      </c>
      <c r="E173" s="72">
        <v>16173</v>
      </c>
    </row>
    <row r="174" spans="1:5" x14ac:dyDescent="0.25">
      <c r="A174" s="2" t="s">
        <v>509</v>
      </c>
      <c r="B174" s="68" t="s">
        <v>385</v>
      </c>
      <c r="C174" s="1" t="s">
        <v>523</v>
      </c>
      <c r="D174" s="68" t="s">
        <v>528</v>
      </c>
      <c r="E174" s="72">
        <v>17357</v>
      </c>
    </row>
    <row r="175" spans="1:5" x14ac:dyDescent="0.25">
      <c r="A175" s="2" t="s">
        <v>509</v>
      </c>
      <c r="B175" s="68" t="s">
        <v>385</v>
      </c>
      <c r="C175" s="1" t="s">
        <v>523</v>
      </c>
      <c r="D175" s="68" t="s">
        <v>529</v>
      </c>
      <c r="E175" s="72">
        <v>16116</v>
      </c>
    </row>
    <row r="176" spans="1:5" x14ac:dyDescent="0.25">
      <c r="A176" s="2" t="s">
        <v>509</v>
      </c>
      <c r="B176" s="68" t="s">
        <v>385</v>
      </c>
      <c r="C176" s="1" t="s">
        <v>523</v>
      </c>
      <c r="D176" s="68" t="s">
        <v>530</v>
      </c>
      <c r="E176" s="72">
        <v>18199</v>
      </c>
    </row>
    <row r="177" spans="1:5" x14ac:dyDescent="0.25">
      <c r="A177" s="2" t="s">
        <v>509</v>
      </c>
      <c r="B177" s="68" t="s">
        <v>385</v>
      </c>
      <c r="C177" s="1" t="s">
        <v>523</v>
      </c>
      <c r="D177" s="68" t="s">
        <v>531</v>
      </c>
      <c r="E177" s="72">
        <v>682</v>
      </c>
    </row>
    <row r="178" spans="1:5" x14ac:dyDescent="0.25">
      <c r="A178" s="2" t="s">
        <v>509</v>
      </c>
      <c r="B178" s="68" t="s">
        <v>385</v>
      </c>
      <c r="C178" s="1" t="s">
        <v>408</v>
      </c>
      <c r="D178" s="68" t="s">
        <v>520</v>
      </c>
      <c r="E178" s="72">
        <v>14557</v>
      </c>
    </row>
    <row r="179" spans="1:5" x14ac:dyDescent="0.25">
      <c r="A179" s="2" t="s">
        <v>509</v>
      </c>
      <c r="B179" s="68" t="s">
        <v>385</v>
      </c>
      <c r="C179" s="1" t="s">
        <v>413</v>
      </c>
      <c r="D179" s="68" t="s">
        <v>520</v>
      </c>
      <c r="E179" s="72">
        <v>40306</v>
      </c>
    </row>
    <row r="180" spans="1:5" x14ac:dyDescent="0.25">
      <c r="A180" s="2" t="s">
        <v>509</v>
      </c>
      <c r="B180" s="68" t="s">
        <v>385</v>
      </c>
      <c r="C180" s="1" t="s">
        <v>413</v>
      </c>
      <c r="D180" s="68" t="s">
        <v>532</v>
      </c>
      <c r="E180" s="72">
        <v>5478</v>
      </c>
    </row>
    <row r="181" spans="1:5" x14ac:dyDescent="0.25">
      <c r="A181" s="2" t="s">
        <v>509</v>
      </c>
      <c r="B181" s="68" t="s">
        <v>385</v>
      </c>
      <c r="C181" s="1" t="s">
        <v>533</v>
      </c>
      <c r="D181" s="68" t="s">
        <v>534</v>
      </c>
      <c r="E181" s="72">
        <v>12479</v>
      </c>
    </row>
    <row r="182" spans="1:5" x14ac:dyDescent="0.25">
      <c r="A182" s="2" t="s">
        <v>509</v>
      </c>
      <c r="B182" s="68" t="s">
        <v>385</v>
      </c>
      <c r="C182" s="1" t="s">
        <v>533</v>
      </c>
      <c r="D182" s="68" t="s">
        <v>535</v>
      </c>
      <c r="E182" s="72">
        <v>3191</v>
      </c>
    </row>
    <row r="183" spans="1:5" x14ac:dyDescent="0.25">
      <c r="A183" s="2" t="s">
        <v>509</v>
      </c>
      <c r="B183" s="68" t="s">
        <v>385</v>
      </c>
      <c r="C183" s="1" t="s">
        <v>533</v>
      </c>
      <c r="D183" s="68" t="s">
        <v>536</v>
      </c>
      <c r="E183" s="72">
        <v>19473</v>
      </c>
    </row>
    <row r="184" spans="1:5" x14ac:dyDescent="0.25">
      <c r="A184" s="2" t="s">
        <v>509</v>
      </c>
      <c r="B184" s="68" t="s">
        <v>385</v>
      </c>
      <c r="C184" s="1" t="s">
        <v>533</v>
      </c>
      <c r="D184" s="68" t="s">
        <v>537</v>
      </c>
      <c r="E184" s="72">
        <v>19999</v>
      </c>
    </row>
    <row r="185" spans="1:5" x14ac:dyDescent="0.25">
      <c r="A185" s="2" t="s">
        <v>509</v>
      </c>
      <c r="B185" s="68" t="s">
        <v>385</v>
      </c>
      <c r="C185" s="1" t="s">
        <v>533</v>
      </c>
      <c r="D185" s="68" t="s">
        <v>538</v>
      </c>
      <c r="E185" s="72">
        <v>9202</v>
      </c>
    </row>
    <row r="186" spans="1:5" x14ac:dyDescent="0.25">
      <c r="A186" s="2" t="s">
        <v>509</v>
      </c>
      <c r="B186" s="68" t="s">
        <v>385</v>
      </c>
      <c r="C186" s="1" t="s">
        <v>533</v>
      </c>
      <c r="D186" s="68" t="s">
        <v>539</v>
      </c>
      <c r="E186" s="72">
        <v>9122</v>
      </c>
    </row>
    <row r="187" spans="1:5" x14ac:dyDescent="0.25">
      <c r="A187" s="2" t="s">
        <v>509</v>
      </c>
      <c r="B187" s="68" t="s">
        <v>385</v>
      </c>
      <c r="C187" s="1" t="s">
        <v>533</v>
      </c>
      <c r="D187" s="68" t="s">
        <v>540</v>
      </c>
      <c r="E187" s="72">
        <v>10895</v>
      </c>
    </row>
    <row r="188" spans="1:5" x14ac:dyDescent="0.25">
      <c r="A188" s="2" t="s">
        <v>509</v>
      </c>
      <c r="B188" s="68" t="s">
        <v>385</v>
      </c>
      <c r="C188" s="1" t="s">
        <v>533</v>
      </c>
      <c r="D188" s="68" t="s">
        <v>541</v>
      </c>
      <c r="E188" s="72">
        <v>22024</v>
      </c>
    </row>
    <row r="189" spans="1:5" x14ac:dyDescent="0.25">
      <c r="A189" s="2" t="s">
        <v>509</v>
      </c>
      <c r="B189" s="68" t="s">
        <v>385</v>
      </c>
      <c r="C189" s="1" t="s">
        <v>533</v>
      </c>
      <c r="D189" s="68" t="s">
        <v>542</v>
      </c>
      <c r="E189" s="72">
        <v>5965</v>
      </c>
    </row>
    <row r="190" spans="1:5" x14ac:dyDescent="0.25">
      <c r="A190" s="2" t="s">
        <v>509</v>
      </c>
      <c r="B190" s="68" t="s">
        <v>385</v>
      </c>
      <c r="C190" s="1" t="s">
        <v>533</v>
      </c>
      <c r="D190" s="68" t="s">
        <v>543</v>
      </c>
      <c r="E190" s="72">
        <v>17353</v>
      </c>
    </row>
    <row r="191" spans="1:5" x14ac:dyDescent="0.25">
      <c r="A191" s="2" t="s">
        <v>509</v>
      </c>
      <c r="B191" s="68" t="s">
        <v>385</v>
      </c>
      <c r="C191" s="1" t="s">
        <v>533</v>
      </c>
      <c r="D191" s="68" t="s">
        <v>544</v>
      </c>
      <c r="E191" s="72">
        <v>12338</v>
      </c>
    </row>
    <row r="192" spans="1:5" x14ac:dyDescent="0.25">
      <c r="A192" s="2" t="s">
        <v>509</v>
      </c>
      <c r="B192" s="68" t="s">
        <v>385</v>
      </c>
      <c r="C192" s="1" t="s">
        <v>533</v>
      </c>
      <c r="D192" s="68" t="s">
        <v>545</v>
      </c>
      <c r="E192" s="72">
        <v>11964</v>
      </c>
    </row>
    <row r="193" spans="1:5" x14ac:dyDescent="0.25">
      <c r="A193" s="2" t="s">
        <v>509</v>
      </c>
      <c r="B193" s="68" t="s">
        <v>385</v>
      </c>
      <c r="C193" s="1" t="s">
        <v>533</v>
      </c>
      <c r="D193" s="68" t="s">
        <v>546</v>
      </c>
      <c r="E193" s="72">
        <v>14614</v>
      </c>
    </row>
    <row r="194" spans="1:5" x14ac:dyDescent="0.25">
      <c r="A194" s="2" t="s">
        <v>509</v>
      </c>
      <c r="B194" s="68" t="s">
        <v>385</v>
      </c>
      <c r="C194" s="1" t="s">
        <v>547</v>
      </c>
      <c r="D194" s="68" t="s">
        <v>520</v>
      </c>
      <c r="E194" s="72">
        <v>21263</v>
      </c>
    </row>
    <row r="195" spans="1:5" x14ac:dyDescent="0.25">
      <c r="A195" s="2" t="s">
        <v>509</v>
      </c>
      <c r="B195" s="68" t="s">
        <v>385</v>
      </c>
      <c r="C195" s="1" t="s">
        <v>548</v>
      </c>
      <c r="D195" s="68" t="s">
        <v>549</v>
      </c>
      <c r="E195" s="72">
        <v>30169</v>
      </c>
    </row>
    <row r="196" spans="1:5" x14ac:dyDescent="0.25">
      <c r="A196" s="2" t="s">
        <v>509</v>
      </c>
      <c r="B196" s="68" t="s">
        <v>385</v>
      </c>
      <c r="C196" s="1" t="s">
        <v>548</v>
      </c>
      <c r="D196" s="68" t="s">
        <v>550</v>
      </c>
      <c r="E196" s="72">
        <v>105871</v>
      </c>
    </row>
    <row r="197" spans="1:5" x14ac:dyDescent="0.25">
      <c r="A197" s="2" t="s">
        <v>509</v>
      </c>
      <c r="B197" s="68" t="s">
        <v>385</v>
      </c>
      <c r="C197" s="1" t="s">
        <v>551</v>
      </c>
      <c r="D197" s="68" t="s">
        <v>552</v>
      </c>
      <c r="E197" s="72">
        <v>20394</v>
      </c>
    </row>
    <row r="198" spans="1:5" x14ac:dyDescent="0.25">
      <c r="A198" s="2" t="s">
        <v>509</v>
      </c>
      <c r="B198" s="68" t="s">
        <v>385</v>
      </c>
      <c r="C198" s="1" t="s">
        <v>553</v>
      </c>
      <c r="D198" s="68" t="s">
        <v>520</v>
      </c>
      <c r="E198" s="72">
        <v>10056</v>
      </c>
    </row>
    <row r="199" spans="1:5" x14ac:dyDescent="0.25">
      <c r="A199" s="2" t="s">
        <v>509</v>
      </c>
      <c r="B199" s="68" t="s">
        <v>385</v>
      </c>
      <c r="C199" s="1" t="s">
        <v>553</v>
      </c>
      <c r="D199" s="68" t="s">
        <v>554</v>
      </c>
      <c r="E199" s="72">
        <v>85853</v>
      </c>
    </row>
    <row r="200" spans="1:5" x14ac:dyDescent="0.25">
      <c r="A200" s="2" t="s">
        <v>509</v>
      </c>
      <c r="B200" s="68" t="s">
        <v>385</v>
      </c>
      <c r="C200" s="1" t="s">
        <v>553</v>
      </c>
      <c r="D200" s="68" t="s">
        <v>555</v>
      </c>
      <c r="E200" s="72">
        <v>24183</v>
      </c>
    </row>
    <row r="201" spans="1:5" x14ac:dyDescent="0.25">
      <c r="A201" s="2" t="s">
        <v>509</v>
      </c>
      <c r="B201" s="68" t="s">
        <v>385</v>
      </c>
      <c r="C201" s="1" t="s">
        <v>418</v>
      </c>
      <c r="D201" s="68" t="s">
        <v>520</v>
      </c>
      <c r="E201" s="72">
        <v>24047</v>
      </c>
    </row>
    <row r="202" spans="1:5" x14ac:dyDescent="0.25">
      <c r="A202" s="2" t="s">
        <v>509</v>
      </c>
      <c r="B202" s="68" t="s">
        <v>476</v>
      </c>
      <c r="C202" s="1" t="s">
        <v>504</v>
      </c>
      <c r="D202" s="68" t="s">
        <v>556</v>
      </c>
      <c r="E202" s="72">
        <v>9990</v>
      </c>
    </row>
    <row r="203" spans="1:5" x14ac:dyDescent="0.25">
      <c r="A203" s="2" t="s">
        <v>509</v>
      </c>
      <c r="B203" s="68" t="s">
        <v>476</v>
      </c>
      <c r="C203" s="1" t="s">
        <v>479</v>
      </c>
      <c r="D203" s="68" t="s">
        <v>557</v>
      </c>
      <c r="E203" s="72">
        <v>137823</v>
      </c>
    </row>
    <row r="204" spans="1:5" x14ac:dyDescent="0.25">
      <c r="A204" s="2" t="s">
        <v>509</v>
      </c>
      <c r="B204" s="68" t="s">
        <v>476</v>
      </c>
      <c r="C204" s="1" t="s">
        <v>481</v>
      </c>
      <c r="D204" s="68" t="s">
        <v>558</v>
      </c>
      <c r="E204" s="72">
        <v>28370</v>
      </c>
    </row>
    <row r="205" spans="1:5" x14ac:dyDescent="0.25">
      <c r="A205" s="2" t="s">
        <v>559</v>
      </c>
      <c r="B205" s="68" t="s">
        <v>385</v>
      </c>
      <c r="C205" s="1" t="s">
        <v>386</v>
      </c>
      <c r="D205" s="68" t="s">
        <v>560</v>
      </c>
      <c r="E205" s="72">
        <v>20597</v>
      </c>
    </row>
    <row r="206" spans="1:5" x14ac:dyDescent="0.25">
      <c r="A206" s="2" t="s">
        <v>559</v>
      </c>
      <c r="B206" s="68" t="s">
        <v>385</v>
      </c>
      <c r="C206" s="1" t="s">
        <v>402</v>
      </c>
      <c r="D206" s="68" t="s">
        <v>561</v>
      </c>
      <c r="E206" s="72">
        <v>2862</v>
      </c>
    </row>
    <row r="207" spans="1:5" x14ac:dyDescent="0.25">
      <c r="A207" s="2" t="s">
        <v>559</v>
      </c>
      <c r="B207" s="68" t="s">
        <v>385</v>
      </c>
      <c r="C207" s="1" t="s">
        <v>562</v>
      </c>
      <c r="D207" s="68" t="s">
        <v>560</v>
      </c>
      <c r="E207" s="72">
        <v>2539</v>
      </c>
    </row>
    <row r="208" spans="1:5" x14ac:dyDescent="0.25">
      <c r="A208" s="2" t="s">
        <v>559</v>
      </c>
      <c r="B208" s="68" t="s">
        <v>423</v>
      </c>
      <c r="C208" s="1" t="s">
        <v>563</v>
      </c>
      <c r="D208" s="68" t="s">
        <v>564</v>
      </c>
      <c r="E208" s="72">
        <v>78920</v>
      </c>
    </row>
    <row r="209" spans="1:9" x14ac:dyDescent="0.25">
      <c r="A209" s="2" t="s">
        <v>559</v>
      </c>
      <c r="B209" s="68" t="s">
        <v>423</v>
      </c>
      <c r="C209" s="1" t="s">
        <v>565</v>
      </c>
      <c r="D209" s="68" t="s">
        <v>566</v>
      </c>
      <c r="E209" s="72">
        <v>1370</v>
      </c>
    </row>
    <row r="210" spans="1:9" x14ac:dyDescent="0.25">
      <c r="A210" s="2" t="s">
        <v>559</v>
      </c>
      <c r="B210" s="68" t="s">
        <v>423</v>
      </c>
      <c r="C210" s="1" t="s">
        <v>567</v>
      </c>
      <c r="D210" s="68" t="s">
        <v>568</v>
      </c>
      <c r="E210" s="72">
        <v>14604</v>
      </c>
    </row>
    <row r="211" spans="1:9" x14ac:dyDescent="0.25">
      <c r="A211" s="2" t="s">
        <v>559</v>
      </c>
      <c r="B211" s="68" t="s">
        <v>476</v>
      </c>
      <c r="C211" s="1" t="s">
        <v>569</v>
      </c>
      <c r="D211" s="68" t="s">
        <v>570</v>
      </c>
      <c r="E211" s="72">
        <v>13467</v>
      </c>
    </row>
    <row r="212" spans="1:9" x14ac:dyDescent="0.25">
      <c r="A212" s="2" t="s">
        <v>571</v>
      </c>
      <c r="B212" s="68" t="s">
        <v>385</v>
      </c>
      <c r="C212" s="1" t="s">
        <v>398</v>
      </c>
      <c r="D212" s="68" t="s">
        <v>572</v>
      </c>
      <c r="E212" s="72">
        <v>13105</v>
      </c>
    </row>
    <row r="213" spans="1:9" x14ac:dyDescent="0.25">
      <c r="A213" s="2" t="s">
        <v>573</v>
      </c>
      <c r="B213" s="68" t="s">
        <v>423</v>
      </c>
      <c r="C213" s="1" t="s">
        <v>563</v>
      </c>
      <c r="D213" s="68" t="s">
        <v>574</v>
      </c>
      <c r="E213" s="72">
        <v>12264</v>
      </c>
    </row>
    <row r="214" spans="1:9" x14ac:dyDescent="0.25">
      <c r="A214" s="2" t="s">
        <v>575</v>
      </c>
      <c r="B214" s="68" t="s">
        <v>423</v>
      </c>
      <c r="C214" s="1" t="s">
        <v>576</v>
      </c>
      <c r="D214" s="68" t="s">
        <v>90</v>
      </c>
      <c r="E214" s="72">
        <v>27693</v>
      </c>
    </row>
    <row r="215" spans="1:9" x14ac:dyDescent="0.25">
      <c r="A215" s="2" t="s">
        <v>575</v>
      </c>
      <c r="B215" s="68" t="s">
        <v>423</v>
      </c>
      <c r="C215" s="1" t="s">
        <v>576</v>
      </c>
      <c r="D215" s="68" t="s">
        <v>577</v>
      </c>
      <c r="E215" s="72">
        <v>53822</v>
      </c>
    </row>
    <row r="216" spans="1:9" x14ac:dyDescent="0.25">
      <c r="A216" s="2" t="s">
        <v>575</v>
      </c>
      <c r="B216" s="68" t="s">
        <v>423</v>
      </c>
      <c r="C216" s="1" t="s">
        <v>576</v>
      </c>
      <c r="D216" s="68" t="s">
        <v>578</v>
      </c>
      <c r="E216" s="72">
        <v>53772</v>
      </c>
    </row>
    <row r="217" spans="1:9" x14ac:dyDescent="0.25">
      <c r="A217" s="2" t="s">
        <v>575</v>
      </c>
      <c r="B217" s="68" t="s">
        <v>423</v>
      </c>
      <c r="C217" s="1" t="s">
        <v>576</v>
      </c>
      <c r="D217" s="68" t="s">
        <v>579</v>
      </c>
      <c r="E217" s="72">
        <v>93260</v>
      </c>
    </row>
    <row r="218" spans="1:9" x14ac:dyDescent="0.25">
      <c r="A218" s="2" t="s">
        <v>575</v>
      </c>
      <c r="B218" s="68" t="s">
        <v>423</v>
      </c>
      <c r="C218" s="1" t="s">
        <v>576</v>
      </c>
      <c r="D218" s="68" t="s">
        <v>580</v>
      </c>
      <c r="E218" s="72">
        <v>261413</v>
      </c>
    </row>
    <row r="219" spans="1:9" x14ac:dyDescent="0.25">
      <c r="A219" s="2" t="s">
        <v>575</v>
      </c>
      <c r="B219" s="68" t="s">
        <v>423</v>
      </c>
      <c r="C219" s="1" t="s">
        <v>576</v>
      </c>
      <c r="D219" s="68" t="s">
        <v>581</v>
      </c>
      <c r="E219" s="72">
        <v>8723</v>
      </c>
    </row>
    <row r="220" spans="1:9" x14ac:dyDescent="0.25">
      <c r="E220" s="66">
        <f>SUM(E24:E219)</f>
        <v>23017895</v>
      </c>
    </row>
    <row r="224" spans="1:9" x14ac:dyDescent="0.25">
      <c r="A224" s="103" t="s">
        <v>582</v>
      </c>
      <c r="B224" s="103" t="s">
        <v>321</v>
      </c>
      <c r="C224"/>
      <c r="D224"/>
      <c r="E224"/>
      <c r="F224"/>
      <c r="G224"/>
      <c r="H224"/>
      <c r="I224"/>
    </row>
    <row r="225" spans="1:9" x14ac:dyDescent="0.25">
      <c r="A225" s="103" t="s">
        <v>322</v>
      </c>
      <c r="B225" t="s">
        <v>384</v>
      </c>
      <c r="C225" t="s">
        <v>488</v>
      </c>
      <c r="D225" t="s">
        <v>509</v>
      </c>
      <c r="E225" t="s">
        <v>559</v>
      </c>
      <c r="F225" t="s">
        <v>571</v>
      </c>
      <c r="G225" t="s">
        <v>573</v>
      </c>
      <c r="H225" t="s">
        <v>575</v>
      </c>
      <c r="I225" t="s">
        <v>323</v>
      </c>
    </row>
    <row r="226" spans="1:9" x14ac:dyDescent="0.25">
      <c r="A226" s="80" t="s">
        <v>473</v>
      </c>
      <c r="B226" s="158">
        <v>91157</v>
      </c>
      <c r="C226" s="158">
        <v>4209</v>
      </c>
      <c r="D226" s="158"/>
      <c r="E226" s="158"/>
      <c r="F226" s="158"/>
      <c r="G226" s="158"/>
      <c r="H226" s="158"/>
      <c r="I226" s="158">
        <v>95366</v>
      </c>
    </row>
    <row r="227" spans="1:9" x14ac:dyDescent="0.25">
      <c r="A227" s="80" t="s">
        <v>464</v>
      </c>
      <c r="B227" s="158">
        <v>612031</v>
      </c>
      <c r="C227" s="158">
        <v>6885</v>
      </c>
      <c r="D227" s="158"/>
      <c r="E227" s="158"/>
      <c r="F227" s="158"/>
      <c r="G227" s="158"/>
      <c r="H227" s="158"/>
      <c r="I227" s="158">
        <v>618916</v>
      </c>
    </row>
    <row r="228" spans="1:9" x14ac:dyDescent="0.25">
      <c r="A228" s="80" t="s">
        <v>385</v>
      </c>
      <c r="B228" s="158">
        <v>3595805</v>
      </c>
      <c r="C228" s="158">
        <v>405679</v>
      </c>
      <c r="D228" s="158">
        <v>1156771</v>
      </c>
      <c r="E228" s="158">
        <v>25998</v>
      </c>
      <c r="F228" s="158">
        <v>13105</v>
      </c>
      <c r="G228" s="158"/>
      <c r="H228" s="158"/>
      <c r="I228" s="158">
        <v>5197358</v>
      </c>
    </row>
    <row r="229" spans="1:9" x14ac:dyDescent="0.25">
      <c r="A229" s="80" t="s">
        <v>423</v>
      </c>
      <c r="B229" s="158">
        <v>8612301</v>
      </c>
      <c r="C229" s="158"/>
      <c r="D229" s="158"/>
      <c r="E229" s="158">
        <v>94894</v>
      </c>
      <c r="F229" s="158"/>
      <c r="G229" s="158">
        <v>12264</v>
      </c>
      <c r="H229" s="158">
        <v>498683</v>
      </c>
      <c r="I229" s="158">
        <v>9218142</v>
      </c>
    </row>
    <row r="230" spans="1:9" x14ac:dyDescent="0.25">
      <c r="A230" s="80" t="s">
        <v>454</v>
      </c>
      <c r="B230" s="158">
        <v>5406521</v>
      </c>
      <c r="C230" s="158">
        <v>680560</v>
      </c>
      <c r="D230" s="158"/>
      <c r="E230" s="158"/>
      <c r="F230" s="158"/>
      <c r="G230" s="158"/>
      <c r="H230" s="158"/>
      <c r="I230" s="158">
        <v>6087081</v>
      </c>
    </row>
    <row r="231" spans="1:9" x14ac:dyDescent="0.25">
      <c r="A231" s="80" t="s">
        <v>476</v>
      </c>
      <c r="B231" s="158">
        <v>606209</v>
      </c>
      <c r="C231" s="158">
        <v>77564</v>
      </c>
      <c r="D231" s="158">
        <v>176183</v>
      </c>
      <c r="E231" s="158">
        <v>13467</v>
      </c>
      <c r="F231" s="158"/>
      <c r="G231" s="158"/>
      <c r="H231" s="158"/>
      <c r="I231" s="158">
        <v>873423</v>
      </c>
    </row>
    <row r="232" spans="1:9" x14ac:dyDescent="0.25">
      <c r="A232" s="80" t="s">
        <v>484</v>
      </c>
      <c r="B232" s="158">
        <v>108611</v>
      </c>
      <c r="C232" s="158">
        <v>723016</v>
      </c>
      <c r="D232" s="158"/>
      <c r="E232" s="158"/>
      <c r="F232" s="158"/>
      <c r="G232" s="158"/>
      <c r="H232" s="158"/>
      <c r="I232" s="158">
        <v>831627</v>
      </c>
    </row>
    <row r="233" spans="1:9" x14ac:dyDescent="0.25">
      <c r="A233" s="80" t="s">
        <v>230</v>
      </c>
      <c r="B233" s="158">
        <v>95982</v>
      </c>
      <c r="C233" s="158"/>
      <c r="D233" s="158"/>
      <c r="E233" s="158"/>
      <c r="F233" s="158"/>
      <c r="G233" s="158"/>
      <c r="H233" s="158"/>
      <c r="I233" s="158">
        <v>95982</v>
      </c>
    </row>
    <row r="234" spans="1:9" x14ac:dyDescent="0.25">
      <c r="A234" s="80" t="s">
        <v>323</v>
      </c>
      <c r="B234" s="158">
        <v>19128617</v>
      </c>
      <c r="C234" s="158">
        <v>1897913</v>
      </c>
      <c r="D234" s="158">
        <v>1332954</v>
      </c>
      <c r="E234" s="158">
        <v>134359</v>
      </c>
      <c r="F234" s="158">
        <v>13105</v>
      </c>
      <c r="G234" s="158">
        <v>12264</v>
      </c>
      <c r="H234" s="158">
        <v>498683</v>
      </c>
      <c r="I234" s="158">
        <v>23017895</v>
      </c>
    </row>
    <row r="235" spans="1:9" x14ac:dyDescent="0.25">
      <c r="A235"/>
      <c r="B235"/>
      <c r="C235"/>
    </row>
    <row r="236" spans="1:9" x14ac:dyDescent="0.25">
      <c r="A236"/>
      <c r="B236"/>
      <c r="C236"/>
    </row>
    <row r="237" spans="1:9" x14ac:dyDescent="0.25">
      <c r="A237"/>
      <c r="B237"/>
      <c r="C237"/>
    </row>
    <row r="238" spans="1:9" x14ac:dyDescent="0.25">
      <c r="A238"/>
      <c r="B238"/>
      <c r="C238"/>
    </row>
    <row r="239" spans="1:9" x14ac:dyDescent="0.25">
      <c r="A239"/>
      <c r="B239"/>
      <c r="C239"/>
    </row>
    <row r="240" spans="1:9" x14ac:dyDescent="0.25">
      <c r="A240"/>
      <c r="B240"/>
      <c r="C240"/>
    </row>
    <row r="241" spans="1:3" x14ac:dyDescent="0.25">
      <c r="A241"/>
      <c r="B241"/>
      <c r="C241"/>
    </row>
  </sheetData>
  <mergeCells count="1">
    <mergeCell ref="B5:J5"/>
  </mergeCells>
  <printOptions horizontalCentered="1"/>
  <pageMargins left="0.75" right="0.75" top="0.5" bottom="0.5" header="0.3" footer="0.3"/>
  <pageSetup scale="83" fitToHeight="0" orientation="landscape" r:id="rId2"/>
  <headerFooter>
    <oddFooter>&amp;L&amp;8&amp;D&amp;C&amp;8&amp;P&amp;R&amp;8&amp;F</oddFooter>
  </headerFooter>
  <ignoredErrors>
    <ignoredError sqref="K15" formula="1"/>
  </ignoredError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5E5E6-C9CC-47E7-A530-AD7E9D936C17}">
  <sheetPr>
    <tabColor theme="9"/>
    <pageSetUpPr fitToPage="1"/>
  </sheetPr>
  <dimension ref="A1:J34"/>
  <sheetViews>
    <sheetView tabSelected="1" workbookViewId="0">
      <selection activeCell="G14" sqref="G14"/>
    </sheetView>
  </sheetViews>
  <sheetFormatPr defaultColWidth="8.85546875" defaultRowHeight="15" x14ac:dyDescent="0.25"/>
  <cols>
    <col min="1" max="1" width="26.28515625" style="2" customWidth="1"/>
    <col min="2" max="2" width="12.85546875" style="1" customWidth="1"/>
    <col min="3" max="3" width="11.85546875" style="1" customWidth="1"/>
    <col min="4" max="4" width="12.42578125" style="1" customWidth="1"/>
    <col min="5" max="5" width="13.140625" style="1" customWidth="1"/>
    <col min="6" max="9" width="11.85546875" style="1" customWidth="1"/>
    <col min="10" max="10" width="13.42578125" style="1" customWidth="1"/>
    <col min="11" max="22" width="14" style="2" customWidth="1"/>
    <col min="23" max="16384" width="8.85546875" style="2"/>
  </cols>
  <sheetData>
    <row r="1" spans="1:10" ht="25.9" customHeight="1" x14ac:dyDescent="0.4">
      <c r="A1" s="3"/>
      <c r="J1" s="26"/>
    </row>
    <row r="2" spans="1:10" ht="25.9" customHeight="1" x14ac:dyDescent="0.3">
      <c r="A2" s="3"/>
    </row>
    <row r="3" spans="1:10" ht="18.75" customHeight="1" x14ac:dyDescent="0.3">
      <c r="A3" s="3" t="s">
        <v>583</v>
      </c>
      <c r="J3" s="6" t="str">
        <f>+'Attachment A - Base'!I3</f>
        <v>BPA #25-01</v>
      </c>
    </row>
    <row r="4" spans="1:10" ht="20.100000000000001" customHeight="1" x14ac:dyDescent="0.25">
      <c r="A4" s="17">
        <f>+'Attachment A - Base'!A4</f>
        <v>45881</v>
      </c>
    </row>
    <row r="5" spans="1:10" x14ac:dyDescent="0.25">
      <c r="B5" s="169"/>
      <c r="C5" s="169"/>
      <c r="D5" s="169"/>
      <c r="E5" s="169"/>
      <c r="F5" s="169"/>
      <c r="G5" s="169"/>
      <c r="H5" s="169"/>
      <c r="I5" s="169"/>
      <c r="J5" s="169"/>
    </row>
    <row r="6" spans="1:10" x14ac:dyDescent="0.25">
      <c r="J6" s="19"/>
    </row>
    <row r="7" spans="1:10" ht="60.75" thickBot="1" x14ac:dyDescent="0.3">
      <c r="A7" s="4"/>
      <c r="B7" s="5" t="s">
        <v>369</v>
      </c>
      <c r="C7" s="5" t="s">
        <v>370</v>
      </c>
      <c r="D7" s="5" t="s">
        <v>372</v>
      </c>
      <c r="E7" s="5" t="s">
        <v>373</v>
      </c>
      <c r="F7" s="5" t="s">
        <v>374</v>
      </c>
      <c r="G7" s="5" t="s">
        <v>375</v>
      </c>
      <c r="H7" s="5" t="s">
        <v>376</v>
      </c>
      <c r="I7" s="5" t="s">
        <v>377</v>
      </c>
      <c r="J7" s="20" t="s">
        <v>584</v>
      </c>
    </row>
    <row r="8" spans="1:10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16"/>
      <c r="J8" s="21"/>
    </row>
    <row r="9" spans="1:10" ht="19.149999999999999" customHeight="1" x14ac:dyDescent="0.25">
      <c r="A9" s="2" t="s">
        <v>17</v>
      </c>
      <c r="B9" s="25">
        <v>120757</v>
      </c>
      <c r="C9" s="25">
        <v>1372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2">
        <f t="shared" ref="J9:J14" si="0">SUM(B9:I9)</f>
        <v>122129</v>
      </c>
    </row>
    <row r="10" spans="1:10" ht="19.149999999999999" customHeight="1" x14ac:dyDescent="0.25">
      <c r="A10" s="2" t="s">
        <v>18</v>
      </c>
      <c r="B10" s="25">
        <v>5719778</v>
      </c>
      <c r="C10" s="25">
        <v>-20156</v>
      </c>
      <c r="D10" s="25">
        <v>136954</v>
      </c>
      <c r="E10" s="25">
        <v>10687</v>
      </c>
      <c r="F10" s="25">
        <v>0</v>
      </c>
      <c r="G10" s="25">
        <v>0</v>
      </c>
      <c r="H10" s="25">
        <v>0</v>
      </c>
      <c r="I10" s="25">
        <v>0</v>
      </c>
      <c r="J10" s="22">
        <f t="shared" si="0"/>
        <v>5847263</v>
      </c>
    </row>
    <row r="11" spans="1:10" ht="19.149999999999999" customHeight="1" x14ac:dyDescent="0.25">
      <c r="A11" s="2" t="s">
        <v>19</v>
      </c>
      <c r="B11" s="25">
        <v>12558431</v>
      </c>
      <c r="C11" s="25">
        <v>223525</v>
      </c>
      <c r="D11" s="25">
        <v>378928</v>
      </c>
      <c r="E11" s="25">
        <v>0</v>
      </c>
      <c r="F11" s="25">
        <v>66197</v>
      </c>
      <c r="G11" s="25">
        <v>72844</v>
      </c>
      <c r="H11" s="25">
        <v>834000</v>
      </c>
      <c r="I11" s="25">
        <v>0</v>
      </c>
      <c r="J11" s="22">
        <f t="shared" si="0"/>
        <v>14133925</v>
      </c>
    </row>
    <row r="12" spans="1:10" ht="19.149999999999999" customHeight="1" x14ac:dyDescent="0.25">
      <c r="A12" s="2" t="s">
        <v>20</v>
      </c>
      <c r="B12" s="25">
        <v>778356</v>
      </c>
      <c r="C12" s="25">
        <v>636834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2">
        <f t="shared" si="0"/>
        <v>1415190</v>
      </c>
    </row>
    <row r="13" spans="1:10" ht="19.149999999999999" customHeight="1" x14ac:dyDescent="0.25">
      <c r="A13" s="2" t="s">
        <v>21</v>
      </c>
      <c r="B13" s="25">
        <v>295073</v>
      </c>
      <c r="C13" s="25">
        <v>51136</v>
      </c>
      <c r="D13" s="25">
        <v>-13193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2">
        <f t="shared" si="0"/>
        <v>333016</v>
      </c>
    </row>
    <row r="14" spans="1:10" ht="19.149999999999999" customHeight="1" x14ac:dyDescent="0.25">
      <c r="A14" s="2" t="s">
        <v>22</v>
      </c>
      <c r="B14" s="25">
        <v>350532</v>
      </c>
      <c r="C14" s="25">
        <v>-220063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2">
        <f t="shared" si="0"/>
        <v>130469</v>
      </c>
    </row>
    <row r="15" spans="1:10" ht="19.149999999999999" customHeight="1" x14ac:dyDescent="0.25">
      <c r="A15" s="9" t="s">
        <v>23</v>
      </c>
      <c r="B15" s="8">
        <f t="shared" ref="B15:J15" si="1">SUM(B9:B14)</f>
        <v>19822927</v>
      </c>
      <c r="C15" s="8">
        <f t="shared" si="1"/>
        <v>672648</v>
      </c>
      <c r="D15" s="8">
        <f t="shared" si="1"/>
        <v>502689</v>
      </c>
      <c r="E15" s="8">
        <f t="shared" si="1"/>
        <v>10687</v>
      </c>
      <c r="F15" s="8">
        <f t="shared" si="1"/>
        <v>66197</v>
      </c>
      <c r="G15" s="8">
        <f t="shared" si="1"/>
        <v>72844</v>
      </c>
      <c r="H15" s="8">
        <f t="shared" ref="H15" si="2">SUM(H9:H14)</f>
        <v>834000</v>
      </c>
      <c r="I15" s="8">
        <f t="shared" si="1"/>
        <v>0</v>
      </c>
      <c r="J15" s="23">
        <f t="shared" si="1"/>
        <v>21981992</v>
      </c>
    </row>
    <row r="16" spans="1:10" ht="19.149999999999999" customHeight="1" x14ac:dyDescent="0.25">
      <c r="A16" s="2" t="s">
        <v>24</v>
      </c>
      <c r="B16" s="154"/>
      <c r="C16" s="154"/>
      <c r="D16" s="72"/>
      <c r="E16" s="72"/>
      <c r="F16" s="72"/>
      <c r="G16" s="7"/>
      <c r="H16" s="7"/>
      <c r="I16" s="7"/>
      <c r="J16" s="22">
        <f>SUM(B16:I16)</f>
        <v>0</v>
      </c>
    </row>
    <row r="17" spans="1:10" ht="19.149999999999999" customHeight="1" x14ac:dyDescent="0.25">
      <c r="A17" s="2" t="s">
        <v>25</v>
      </c>
      <c r="B17" s="25">
        <v>187185</v>
      </c>
      <c r="C17" s="25">
        <v>-119705</v>
      </c>
      <c r="D17" s="25">
        <v>0</v>
      </c>
      <c r="E17" s="25">
        <v>0</v>
      </c>
      <c r="F17" s="25">
        <v>-5411</v>
      </c>
      <c r="G17" s="25">
        <v>0</v>
      </c>
      <c r="H17" s="25">
        <v>0</v>
      </c>
      <c r="I17" s="25">
        <v>0</v>
      </c>
      <c r="J17" s="22">
        <f>SUM(B17:I17)</f>
        <v>62069</v>
      </c>
    </row>
    <row r="18" spans="1:10" ht="15" customHeight="1" thickBot="1" x14ac:dyDescent="0.3">
      <c r="A18" s="10" t="s">
        <v>26</v>
      </c>
      <c r="B18" s="11">
        <f>SUM(B15:B17)</f>
        <v>20010112</v>
      </c>
      <c r="C18" s="11">
        <f t="shared" ref="C18:G18" si="3">SUM(C15:C17)</f>
        <v>552943</v>
      </c>
      <c r="D18" s="11">
        <f t="shared" si="3"/>
        <v>502689</v>
      </c>
      <c r="E18" s="11">
        <f t="shared" si="3"/>
        <v>10687</v>
      </c>
      <c r="F18" s="11">
        <f t="shared" si="3"/>
        <v>60786</v>
      </c>
      <c r="G18" s="11">
        <f t="shared" si="3"/>
        <v>72844</v>
      </c>
      <c r="H18" s="11">
        <f t="shared" ref="H18" si="4">SUM(H15:H17)</f>
        <v>834000</v>
      </c>
      <c r="I18" s="11">
        <f>SUM(I15:I17)</f>
        <v>0</v>
      </c>
      <c r="J18" s="24">
        <f>SUM(J15:J17)</f>
        <v>22044061</v>
      </c>
    </row>
    <row r="19" spans="1:10" x14ac:dyDescent="0.25">
      <c r="A19" s="2" t="s">
        <v>585</v>
      </c>
      <c r="B19" s="2"/>
      <c r="C19" s="2"/>
      <c r="D19" s="12"/>
    </row>
    <row r="20" spans="1:10" x14ac:dyDescent="0.25">
      <c r="B20" s="2"/>
      <c r="C20" s="2"/>
      <c r="D20" s="12"/>
    </row>
    <row r="21" spans="1:10" x14ac:dyDescent="0.25">
      <c r="A21" s="12" t="s">
        <v>586</v>
      </c>
      <c r="B21" s="2"/>
      <c r="C21" s="2"/>
    </row>
    <row r="22" spans="1:10" x14ac:dyDescent="0.25">
      <c r="A22" s="100" t="s">
        <v>305</v>
      </c>
      <c r="B22" s="101" t="s">
        <v>304</v>
      </c>
      <c r="C22" s="100" t="s">
        <v>306</v>
      </c>
      <c r="D22" s="100" t="s">
        <v>307</v>
      </c>
      <c r="E22" s="100" t="s">
        <v>308</v>
      </c>
    </row>
    <row r="23" spans="1:10" x14ac:dyDescent="0.25">
      <c r="A23" s="2" t="s">
        <v>384</v>
      </c>
      <c r="B23" s="68" t="s">
        <v>423</v>
      </c>
      <c r="C23" s="68" t="s">
        <v>587</v>
      </c>
      <c r="D23" s="68" t="s">
        <v>90</v>
      </c>
      <c r="E23" s="2">
        <v>37678</v>
      </c>
    </row>
    <row r="24" spans="1:10" x14ac:dyDescent="0.25">
      <c r="A24" s="2" t="s">
        <v>384</v>
      </c>
      <c r="B24" s="68" t="s">
        <v>423</v>
      </c>
      <c r="C24" s="68" t="s">
        <v>588</v>
      </c>
      <c r="D24" s="68" t="s">
        <v>90</v>
      </c>
      <c r="E24" s="2">
        <v>42164</v>
      </c>
    </row>
    <row r="25" spans="1:10" x14ac:dyDescent="0.25">
      <c r="A25" s="2" t="s">
        <v>384</v>
      </c>
      <c r="B25" s="68" t="s">
        <v>423</v>
      </c>
      <c r="C25" s="68" t="s">
        <v>589</v>
      </c>
      <c r="D25" s="68" t="s">
        <v>90</v>
      </c>
      <c r="E25" s="2">
        <v>37677</v>
      </c>
    </row>
    <row r="26" spans="1:10" x14ac:dyDescent="0.25">
      <c r="A26" s="2" t="s">
        <v>384</v>
      </c>
      <c r="B26" s="68" t="s">
        <v>454</v>
      </c>
      <c r="C26" s="68" t="s">
        <v>590</v>
      </c>
      <c r="D26" s="68" t="s">
        <v>463</v>
      </c>
      <c r="E26" s="2">
        <v>41370</v>
      </c>
    </row>
    <row r="27" spans="1:10" x14ac:dyDescent="0.25">
      <c r="E27" s="69">
        <f>SUM(E23:E26)</f>
        <v>158889</v>
      </c>
    </row>
    <row r="29" spans="1:10" x14ac:dyDescent="0.25">
      <c r="A29" s="2" t="s">
        <v>488</v>
      </c>
      <c r="B29" s="68" t="s">
        <v>385</v>
      </c>
      <c r="C29" s="68" t="s">
        <v>591</v>
      </c>
      <c r="D29" s="68" t="s">
        <v>90</v>
      </c>
      <c r="E29" s="2">
        <v>382</v>
      </c>
    </row>
    <row r="30" spans="1:10" x14ac:dyDescent="0.25">
      <c r="A30" s="2" t="s">
        <v>488</v>
      </c>
      <c r="B30" s="68" t="s">
        <v>385</v>
      </c>
      <c r="C30" s="68" t="s">
        <v>592</v>
      </c>
      <c r="D30" s="68" t="s">
        <v>90</v>
      </c>
      <c r="E30" s="2">
        <v>-382</v>
      </c>
    </row>
    <row r="31" spans="1:10" x14ac:dyDescent="0.25">
      <c r="A31" s="2" t="s">
        <v>488</v>
      </c>
      <c r="B31" s="68" t="s">
        <v>484</v>
      </c>
      <c r="C31" s="68" t="s">
        <v>593</v>
      </c>
      <c r="D31" s="68" t="s">
        <v>90</v>
      </c>
      <c r="E31" s="2">
        <v>65275</v>
      </c>
    </row>
    <row r="32" spans="1:10" x14ac:dyDescent="0.25">
      <c r="B32" s="68"/>
      <c r="C32" s="68"/>
      <c r="D32" s="68"/>
      <c r="E32" s="69">
        <f>SUM(E29:E31)</f>
        <v>65275</v>
      </c>
    </row>
    <row r="33" spans="1:5" x14ac:dyDescent="0.25">
      <c r="B33" s="68"/>
      <c r="C33" s="68"/>
      <c r="D33" s="68"/>
      <c r="E33" s="2"/>
    </row>
    <row r="34" spans="1:5" x14ac:dyDescent="0.25">
      <c r="A34" s="2" t="s">
        <v>571</v>
      </c>
      <c r="B34" s="68" t="s">
        <v>385</v>
      </c>
      <c r="C34" s="68" t="s">
        <v>594</v>
      </c>
      <c r="D34" s="68" t="s">
        <v>572</v>
      </c>
      <c r="E34" s="2">
        <v>7344</v>
      </c>
    </row>
  </sheetData>
  <mergeCells count="1">
    <mergeCell ref="B5:J5"/>
  </mergeCells>
  <printOptions horizontalCentered="1"/>
  <pageMargins left="0.75" right="0.75" top="0.5" bottom="0.5" header="0.3" footer="0.3"/>
  <pageSetup scale="88" fitToHeight="0" orientation="landscape" r:id="rId1"/>
  <headerFooter>
    <oddFooter>&amp;L&amp;8&amp;D&amp;C&amp;8&amp;P&amp;R&amp;8&amp;F</oddFooter>
  </headerFooter>
  <ignoredErrors>
    <ignoredError sqref="J15" 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BB1E7-FBEB-4D4B-ACE6-FAC748BD9842}">
  <sheetPr>
    <tabColor theme="2"/>
  </sheetPr>
  <dimension ref="A1"/>
  <sheetViews>
    <sheetView workbookViewId="0">
      <selection activeCell="D16" sqref="D16"/>
    </sheetView>
  </sheetViews>
  <sheetFormatPr defaultRowHeight="15" x14ac:dyDescent="0.25"/>
  <cols>
    <col min="1" max="1" width="9" customWidth="1"/>
  </cols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7125B-6534-4D98-9410-01FA5D3D87F6}">
  <sheetPr>
    <tabColor rgb="FFFFC000"/>
    <pageSetUpPr fitToPage="1"/>
  </sheetPr>
  <dimension ref="A1:E19"/>
  <sheetViews>
    <sheetView workbookViewId="0"/>
  </sheetViews>
  <sheetFormatPr defaultColWidth="8.85546875" defaultRowHeight="15" x14ac:dyDescent="0.25"/>
  <cols>
    <col min="1" max="1" width="26.28515625" style="2" customWidth="1"/>
    <col min="2" max="2" width="14" style="1" bestFit="1" customWidth="1"/>
    <col min="3" max="3" width="14.28515625" style="1" customWidth="1"/>
    <col min="4" max="4" width="14.5703125" style="1" customWidth="1"/>
    <col min="5" max="5" width="15" style="1" customWidth="1"/>
    <col min="6" max="17" width="14" style="2" customWidth="1"/>
    <col min="18" max="16384" width="8.85546875" style="2"/>
  </cols>
  <sheetData>
    <row r="1" spans="1:5" ht="25.9" customHeight="1" x14ac:dyDescent="0.3">
      <c r="A1" s="3"/>
    </row>
    <row r="2" spans="1:5" ht="25.9" customHeight="1" x14ac:dyDescent="0.3">
      <c r="A2" s="3"/>
      <c r="E2" s="6" t="e">
        <f>+#REF!</f>
        <v>#REF!</v>
      </c>
    </row>
    <row r="3" spans="1:5" ht="18.75" customHeight="1" x14ac:dyDescent="0.3">
      <c r="A3" s="3" t="s">
        <v>595</v>
      </c>
    </row>
    <row r="4" spans="1:5" ht="20.100000000000001" customHeight="1" x14ac:dyDescent="0.25">
      <c r="A4" s="17" t="e">
        <f>+#REF!</f>
        <v>#REF!</v>
      </c>
    </row>
    <row r="5" spans="1:5" x14ac:dyDescent="0.25">
      <c r="B5" s="169"/>
      <c r="C5" s="169"/>
      <c r="D5" s="169"/>
      <c r="E5" s="169"/>
    </row>
    <row r="6" spans="1:5" x14ac:dyDescent="0.25">
      <c r="E6" s="19"/>
    </row>
    <row r="7" spans="1:5" ht="15.75" thickBot="1" x14ac:dyDescent="0.3">
      <c r="A7" s="4"/>
      <c r="B7" s="5"/>
      <c r="C7" s="5"/>
      <c r="D7" s="5"/>
      <c r="E7" s="20"/>
    </row>
    <row r="8" spans="1:5" ht="19.149999999999999" customHeight="1" x14ac:dyDescent="0.25">
      <c r="A8" s="14"/>
      <c r="B8" s="16"/>
      <c r="C8" s="16"/>
      <c r="D8" s="15"/>
      <c r="E8" s="21"/>
    </row>
    <row r="9" spans="1:5" ht="19.149999999999999" customHeight="1" x14ac:dyDescent="0.25">
      <c r="A9" s="2" t="s">
        <v>17</v>
      </c>
      <c r="B9" s="7"/>
      <c r="C9" s="7"/>
      <c r="D9" s="7"/>
      <c r="E9" s="22"/>
    </row>
    <row r="10" spans="1:5" ht="19.149999999999999" customHeight="1" x14ac:dyDescent="0.25">
      <c r="A10" s="2" t="s">
        <v>18</v>
      </c>
      <c r="B10" s="7"/>
      <c r="C10" s="7"/>
      <c r="D10" s="7"/>
      <c r="E10" s="22"/>
    </row>
    <row r="11" spans="1:5" ht="19.149999999999999" customHeight="1" x14ac:dyDescent="0.25">
      <c r="A11" s="2" t="s">
        <v>19</v>
      </c>
      <c r="B11" s="7"/>
      <c r="C11" s="7"/>
      <c r="D11" s="7"/>
      <c r="E11" s="22"/>
    </row>
    <row r="12" spans="1:5" ht="19.149999999999999" customHeight="1" x14ac:dyDescent="0.25">
      <c r="A12" s="2" t="s">
        <v>596</v>
      </c>
      <c r="B12" s="7"/>
      <c r="C12" s="7"/>
      <c r="D12" s="7"/>
      <c r="E12" s="22"/>
    </row>
    <row r="13" spans="1:5" ht="19.149999999999999" customHeight="1" x14ac:dyDescent="0.25">
      <c r="A13" s="2" t="s">
        <v>21</v>
      </c>
      <c r="B13" s="7"/>
      <c r="C13" s="7"/>
      <c r="D13" s="7"/>
      <c r="E13" s="22"/>
    </row>
    <row r="14" spans="1:5" ht="19.149999999999999" customHeight="1" x14ac:dyDescent="0.25">
      <c r="A14" s="2" t="s">
        <v>22</v>
      </c>
      <c r="B14" s="7"/>
      <c r="C14" s="7"/>
      <c r="D14" s="7"/>
      <c r="E14" s="22"/>
    </row>
    <row r="15" spans="1:5" ht="19.149999999999999" customHeight="1" x14ac:dyDescent="0.25">
      <c r="A15" s="9" t="s">
        <v>23</v>
      </c>
      <c r="B15" s="8">
        <f t="shared" ref="B15:E15" si="0">SUM(B9:B14)</f>
        <v>0</v>
      </c>
      <c r="C15" s="8">
        <f t="shared" si="0"/>
        <v>0</v>
      </c>
      <c r="D15" s="8">
        <f t="shared" si="0"/>
        <v>0</v>
      </c>
      <c r="E15" s="23">
        <f t="shared" si="0"/>
        <v>0</v>
      </c>
    </row>
    <row r="16" spans="1:5" ht="19.149999999999999" customHeight="1" x14ac:dyDescent="0.25">
      <c r="A16" s="2" t="s">
        <v>24</v>
      </c>
      <c r="B16" s="18"/>
      <c r="D16" s="7"/>
      <c r="E16" s="22"/>
    </row>
    <row r="17" spans="1:5" ht="19.149999999999999" customHeight="1" x14ac:dyDescent="0.25">
      <c r="A17" s="2" t="s">
        <v>25</v>
      </c>
      <c r="B17" s="7"/>
      <c r="C17" s="7"/>
      <c r="D17" s="7"/>
      <c r="E17" s="22"/>
    </row>
    <row r="18" spans="1:5" ht="15" customHeight="1" thickBot="1" x14ac:dyDescent="0.3">
      <c r="A18" s="10" t="s">
        <v>26</v>
      </c>
      <c r="B18" s="11">
        <f t="shared" ref="B18:E18" si="1">SUM(B15:B17)</f>
        <v>0</v>
      </c>
      <c r="C18" s="11">
        <f t="shared" si="1"/>
        <v>0</v>
      </c>
      <c r="D18" s="11">
        <f t="shared" si="1"/>
        <v>0</v>
      </c>
      <c r="E18" s="24">
        <f t="shared" si="1"/>
        <v>0</v>
      </c>
    </row>
    <row r="19" spans="1:5" ht="15" customHeight="1" x14ac:dyDescent="0.25">
      <c r="A19" s="12"/>
      <c r="B19" s="12"/>
      <c r="C19" s="13"/>
      <c r="D19" s="13"/>
      <c r="E19" s="13"/>
    </row>
  </sheetData>
  <mergeCells count="1">
    <mergeCell ref="B5:E5"/>
  </mergeCells>
  <printOptions horizontalCentered="1"/>
  <pageMargins left="0.75" right="0.75" top="0.5" bottom="0.5" header="0.3" footer="0.3"/>
  <pageSetup orientation="landscape" r:id="rId1"/>
  <headerFooter>
    <oddFooter>&amp;L&amp;8&amp;D&amp;R&amp;8&amp;F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25EF9-BBA1-45D6-B3B2-E1564A44D920}">
  <sheetPr>
    <tabColor rgb="FFFFC000"/>
    <pageSetUpPr fitToPage="1"/>
  </sheetPr>
  <dimension ref="A1:F35"/>
  <sheetViews>
    <sheetView workbookViewId="0">
      <selection activeCell="N12" sqref="N12"/>
    </sheetView>
  </sheetViews>
  <sheetFormatPr defaultColWidth="8.85546875" defaultRowHeight="15" x14ac:dyDescent="0.25"/>
  <cols>
    <col min="1" max="1" width="31" style="2" customWidth="1"/>
    <col min="2" max="2" width="15.140625" style="1" customWidth="1"/>
    <col min="3" max="3" width="15.140625" style="1" hidden="1" customWidth="1"/>
    <col min="4" max="4" width="14.28515625" style="1" customWidth="1"/>
    <col min="5" max="6" width="15.7109375" style="1" customWidth="1"/>
    <col min="7" max="18" width="14" style="2" customWidth="1"/>
    <col min="19" max="16384" width="8.85546875" style="2"/>
  </cols>
  <sheetData>
    <row r="1" spans="1:6" ht="25.9" customHeight="1" x14ac:dyDescent="0.4">
      <c r="A1" s="3"/>
      <c r="F1" s="26"/>
    </row>
    <row r="2" spans="1:6" ht="25.9" customHeight="1" x14ac:dyDescent="0.3">
      <c r="A2" s="3"/>
    </row>
    <row r="3" spans="1:6" ht="18.75" customHeight="1" x14ac:dyDescent="0.3">
      <c r="A3" s="3" t="s">
        <v>32</v>
      </c>
      <c r="F3" s="6" t="str">
        <f>+'Attachment A - Base'!I3</f>
        <v>BPA #25-01</v>
      </c>
    </row>
    <row r="4" spans="1:6" ht="20.100000000000001" customHeight="1" x14ac:dyDescent="0.25">
      <c r="A4" s="17">
        <f>+'Attachment A - Base'!A4</f>
        <v>45881</v>
      </c>
    </row>
    <row r="5" spans="1:6" x14ac:dyDescent="0.25">
      <c r="B5" s="169"/>
      <c r="C5" s="169"/>
      <c r="D5" s="169"/>
      <c r="E5" s="169"/>
      <c r="F5" s="169"/>
    </row>
    <row r="6" spans="1:6" x14ac:dyDescent="0.25">
      <c r="C6" s="1">
        <v>-2</v>
      </c>
      <c r="D6" s="19"/>
      <c r="E6" s="2"/>
      <c r="F6" s="2"/>
    </row>
    <row r="7" spans="1:6" ht="60.75" thickBot="1" x14ac:dyDescent="0.3">
      <c r="A7" s="4"/>
      <c r="B7" s="5" t="s">
        <v>33</v>
      </c>
      <c r="C7" s="5" t="s">
        <v>34</v>
      </c>
      <c r="D7" s="20" t="s">
        <v>35</v>
      </c>
      <c r="E7" s="2"/>
      <c r="F7" s="2"/>
    </row>
    <row r="8" spans="1:6" ht="19.149999999999999" customHeight="1" x14ac:dyDescent="0.25">
      <c r="A8" s="14"/>
      <c r="B8" s="16"/>
      <c r="C8" s="16"/>
      <c r="D8" s="21"/>
      <c r="E8" s="2"/>
      <c r="F8" s="2"/>
    </row>
    <row r="9" spans="1:6" ht="19.149999999999999" customHeight="1" x14ac:dyDescent="0.25">
      <c r="A9" s="2" t="s">
        <v>17</v>
      </c>
      <c r="B9" s="58">
        <v>101311</v>
      </c>
      <c r="C9" s="59"/>
      <c r="D9" s="22">
        <f t="shared" ref="D9:D14" si="0">SUM(B9:C9)</f>
        <v>101311</v>
      </c>
      <c r="E9" s="2"/>
      <c r="F9" s="2"/>
    </row>
    <row r="10" spans="1:6" ht="19.149999999999999" customHeight="1" x14ac:dyDescent="0.25">
      <c r="A10" s="2" t="s">
        <v>18</v>
      </c>
      <c r="B10" s="58">
        <v>15147974</v>
      </c>
      <c r="C10" s="58"/>
      <c r="D10" s="22">
        <f t="shared" si="0"/>
        <v>15147974</v>
      </c>
      <c r="E10" s="2"/>
      <c r="F10" s="2"/>
    </row>
    <row r="11" spans="1:6" ht="19.149999999999999" customHeight="1" x14ac:dyDescent="0.25">
      <c r="A11" s="2" t="s">
        <v>19</v>
      </c>
      <c r="B11" s="59" t="s">
        <v>36</v>
      </c>
      <c r="C11" s="59"/>
      <c r="D11" s="22">
        <f t="shared" si="0"/>
        <v>0</v>
      </c>
      <c r="E11" s="2"/>
      <c r="F11" s="2"/>
    </row>
    <row r="12" spans="1:6" ht="19.149999999999999" customHeight="1" x14ac:dyDescent="0.25">
      <c r="A12" s="2" t="s">
        <v>20</v>
      </c>
      <c r="B12" s="58">
        <v>112304</v>
      </c>
      <c r="C12" s="59"/>
      <c r="D12" s="22">
        <f t="shared" si="0"/>
        <v>112304</v>
      </c>
      <c r="E12" s="2"/>
      <c r="F12" s="2"/>
    </row>
    <row r="13" spans="1:6" ht="19.149999999999999" customHeight="1" x14ac:dyDescent="0.25">
      <c r="A13" s="2" t="s">
        <v>21</v>
      </c>
      <c r="B13" s="58">
        <f>4904714-31000</f>
        <v>4873714</v>
      </c>
      <c r="C13" s="61"/>
      <c r="D13" s="22">
        <f t="shared" si="0"/>
        <v>4873714</v>
      </c>
      <c r="E13" s="2"/>
      <c r="F13" s="2"/>
    </row>
    <row r="14" spans="1:6" ht="19.149999999999999" customHeight="1" x14ac:dyDescent="0.25">
      <c r="A14" s="2" t="s">
        <v>22</v>
      </c>
      <c r="B14" s="59" t="s">
        <v>36</v>
      </c>
      <c r="C14" s="59"/>
      <c r="D14" s="22">
        <f t="shared" si="0"/>
        <v>0</v>
      </c>
      <c r="E14" s="2"/>
      <c r="F14" s="2"/>
    </row>
    <row r="15" spans="1:6" ht="19.149999999999999" customHeight="1" x14ac:dyDescent="0.25">
      <c r="A15" s="9" t="s">
        <v>23</v>
      </c>
      <c r="B15" s="8">
        <f t="shared" ref="B15:D15" si="1">SUM(B9:B14)</f>
        <v>20235303</v>
      </c>
      <c r="C15" s="8">
        <f t="shared" si="1"/>
        <v>0</v>
      </c>
      <c r="D15" s="23">
        <f t="shared" si="1"/>
        <v>20235303</v>
      </c>
      <c r="E15" s="2"/>
      <c r="F15" s="2"/>
    </row>
    <row r="16" spans="1:6" ht="19.149999999999999" customHeight="1" x14ac:dyDescent="0.25">
      <c r="A16" s="2" t="s">
        <v>24</v>
      </c>
      <c r="B16" s="124"/>
      <c r="C16" s="60"/>
      <c r="D16" s="22">
        <f>SUM(B16:C16)</f>
        <v>0</v>
      </c>
      <c r="E16" s="2"/>
      <c r="F16" s="2"/>
    </row>
    <row r="17" spans="1:6" ht="19.149999999999999" customHeight="1" x14ac:dyDescent="0.25">
      <c r="A17" s="2" t="s">
        <v>25</v>
      </c>
      <c r="B17" s="78">
        <f>7979497</f>
        <v>7979497</v>
      </c>
      <c r="C17" s="61"/>
      <c r="D17" s="22">
        <f>SUM(B17:C17)</f>
        <v>7979497</v>
      </c>
      <c r="E17" s="2"/>
      <c r="F17" s="2"/>
    </row>
    <row r="18" spans="1:6" ht="15" customHeight="1" thickBot="1" x14ac:dyDescent="0.3">
      <c r="A18" s="10" t="s">
        <v>26</v>
      </c>
      <c r="B18" s="11">
        <f t="shared" ref="B18:D18" si="2">SUM(B15:B17)</f>
        <v>28214800</v>
      </c>
      <c r="C18" s="11">
        <f t="shared" si="2"/>
        <v>0</v>
      </c>
      <c r="D18" s="24">
        <f t="shared" si="2"/>
        <v>28214800</v>
      </c>
      <c r="E18" s="2"/>
      <c r="F18" s="2"/>
    </row>
    <row r="19" spans="1:6" ht="15" customHeight="1" x14ac:dyDescent="0.25">
      <c r="A19" s="12"/>
      <c r="B19" s="12"/>
      <c r="C19" s="13"/>
      <c r="D19" s="13"/>
      <c r="E19" s="13"/>
      <c r="F19" s="13"/>
    </row>
    <row r="20" spans="1:6" x14ac:dyDescent="0.25">
      <c r="A20" s="2" t="s">
        <v>37</v>
      </c>
    </row>
    <row r="22" spans="1:6" x14ac:dyDescent="0.25">
      <c r="A22" s="62" t="s">
        <v>38</v>
      </c>
      <c r="B22" s="63" t="s">
        <v>39</v>
      </c>
      <c r="C22" s="63" t="s">
        <v>40</v>
      </c>
      <c r="D22" s="63" t="s">
        <v>20</v>
      </c>
      <c r="E22" s="63" t="s">
        <v>41</v>
      </c>
      <c r="F22" s="63" t="s">
        <v>42</v>
      </c>
    </row>
    <row r="23" spans="1:6" x14ac:dyDescent="0.25">
      <c r="A23" s="64"/>
      <c r="B23" s="65" t="s">
        <v>43</v>
      </c>
      <c r="C23" s="65" t="s">
        <v>44</v>
      </c>
      <c r="D23" s="65"/>
      <c r="E23" s="65" t="s">
        <v>44</v>
      </c>
      <c r="F23" s="65"/>
    </row>
    <row r="24" spans="1:6" x14ac:dyDescent="0.25">
      <c r="A24" s="33" t="s">
        <v>45</v>
      </c>
      <c r="B24" s="18"/>
      <c r="C24" s="18">
        <v>614090</v>
      </c>
      <c r="D24" s="18"/>
      <c r="E24" s="18"/>
      <c r="F24" s="18">
        <f t="shared" ref="F24:F33" si="3">SUM(B24:E24)</f>
        <v>614090</v>
      </c>
    </row>
    <row r="25" spans="1:6" x14ac:dyDescent="0.25">
      <c r="A25" s="33" t="s">
        <v>46</v>
      </c>
      <c r="B25" s="18"/>
      <c r="C25" s="18"/>
      <c r="D25" s="18"/>
      <c r="E25" s="18">
        <v>508908</v>
      </c>
      <c r="F25" s="18">
        <f t="shared" si="3"/>
        <v>508908</v>
      </c>
    </row>
    <row r="26" spans="1:6" x14ac:dyDescent="0.25">
      <c r="A26" s="33" t="s">
        <v>47</v>
      </c>
      <c r="B26" s="18"/>
      <c r="C26" s="18">
        <v>166360</v>
      </c>
      <c r="D26" s="18"/>
      <c r="E26" s="18"/>
      <c r="F26" s="18">
        <f t="shared" si="3"/>
        <v>166360</v>
      </c>
    </row>
    <row r="27" spans="1:6" x14ac:dyDescent="0.25">
      <c r="A27" s="33" t="s">
        <v>48</v>
      </c>
      <c r="B27" s="18">
        <v>101311</v>
      </c>
      <c r="C27" s="18"/>
      <c r="D27" s="18"/>
      <c r="E27" s="18">
        <v>144000</v>
      </c>
      <c r="F27" s="18">
        <f t="shared" si="3"/>
        <v>245311</v>
      </c>
    </row>
    <row r="28" spans="1:6" x14ac:dyDescent="0.25">
      <c r="A28" s="33" t="s">
        <v>49</v>
      </c>
      <c r="B28" s="18"/>
      <c r="C28" s="18"/>
      <c r="D28" s="18"/>
      <c r="E28" s="18">
        <v>858000</v>
      </c>
      <c r="F28" s="18">
        <f t="shared" si="3"/>
        <v>858000</v>
      </c>
    </row>
    <row r="29" spans="1:6" x14ac:dyDescent="0.25">
      <c r="A29" s="33" t="s">
        <v>50</v>
      </c>
      <c r="B29" s="18"/>
      <c r="C29" s="18"/>
      <c r="D29" s="18"/>
      <c r="E29" s="18">
        <v>357000</v>
      </c>
      <c r="F29" s="18">
        <f t="shared" si="3"/>
        <v>357000</v>
      </c>
    </row>
    <row r="30" spans="1:6" x14ac:dyDescent="0.25">
      <c r="A30" s="33" t="s">
        <v>51</v>
      </c>
      <c r="B30" s="18"/>
      <c r="C30" s="18">
        <f>5956193+2213214</f>
        <v>8169407</v>
      </c>
      <c r="D30" s="18"/>
      <c r="E30" s="18"/>
      <c r="F30" s="18">
        <f t="shared" si="3"/>
        <v>8169407</v>
      </c>
    </row>
    <row r="31" spans="1:6" x14ac:dyDescent="0.25">
      <c r="A31" s="33" t="s">
        <v>52</v>
      </c>
      <c r="B31" s="18"/>
      <c r="C31" s="18">
        <f>14367524-8169407</f>
        <v>6198117</v>
      </c>
      <c r="D31" s="18">
        <v>112304</v>
      </c>
      <c r="E31" s="18">
        <v>1784806</v>
      </c>
      <c r="F31" s="18">
        <f t="shared" si="3"/>
        <v>8095227</v>
      </c>
    </row>
    <row r="32" spans="1:6" x14ac:dyDescent="0.25">
      <c r="A32" s="33" t="s">
        <v>53</v>
      </c>
      <c r="B32" s="18"/>
      <c r="C32" s="18"/>
      <c r="D32" s="18"/>
      <c r="E32" s="18"/>
      <c r="F32" s="18">
        <f t="shared" si="3"/>
        <v>0</v>
      </c>
    </row>
    <row r="33" spans="1:6" x14ac:dyDescent="0.25">
      <c r="A33" s="33" t="s">
        <v>54</v>
      </c>
      <c r="C33" s="18"/>
      <c r="D33" s="18"/>
      <c r="E33" s="18">
        <v>1221000</v>
      </c>
      <c r="F33" s="18">
        <f t="shared" si="3"/>
        <v>1221000</v>
      </c>
    </row>
    <row r="34" spans="1:6" x14ac:dyDescent="0.25">
      <c r="A34" s="33" t="s">
        <v>25</v>
      </c>
      <c r="C34" s="18"/>
      <c r="D34" s="18"/>
      <c r="E34" s="18"/>
      <c r="F34" s="18">
        <v>7979497</v>
      </c>
    </row>
    <row r="35" spans="1:6" x14ac:dyDescent="0.25">
      <c r="B35" s="66">
        <f>SUM(B24:B34)</f>
        <v>101311</v>
      </c>
      <c r="C35" s="66">
        <f>SUM(C24:C34)</f>
        <v>15147974</v>
      </c>
      <c r="D35" s="66">
        <f>SUM(D24:D34)</f>
        <v>112304</v>
      </c>
      <c r="E35" s="66">
        <f>SUM(E24:E34)</f>
        <v>4873714</v>
      </c>
      <c r="F35" s="66">
        <f>SUM(F24:F34)</f>
        <v>28214800</v>
      </c>
    </row>
  </sheetData>
  <mergeCells count="1">
    <mergeCell ref="B5:F5"/>
  </mergeCells>
  <pageMargins left="0.75" right="0.75" top="0.5" bottom="0.5" header="0.3" footer="0.3"/>
  <pageSetup fitToHeight="0" orientation="landscape" r:id="rId1"/>
  <headerFooter>
    <oddFooter>&amp;L&amp;8&amp;D&amp;C&amp;8&amp;P&amp;R&amp;8&amp;A</oddFooter>
  </headerFooter>
  <rowBreaks count="1" manualBreakCount="1">
    <brk id="21" max="16383" man="1"/>
  </rowBreaks>
  <ignoredErrors>
    <ignoredError sqref="D1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0CD4-8D72-4C85-862B-F4499F380AD0}">
  <sheetPr>
    <tabColor rgb="FFFFC000"/>
    <pageSetUpPr fitToPage="1"/>
  </sheetPr>
  <dimension ref="A1:M154"/>
  <sheetViews>
    <sheetView workbookViewId="0">
      <selection activeCell="N12" sqref="N12"/>
    </sheetView>
  </sheetViews>
  <sheetFormatPr defaultColWidth="8.85546875" defaultRowHeight="15" x14ac:dyDescent="0.25"/>
  <cols>
    <col min="1" max="1" width="43.85546875" style="2" customWidth="1"/>
    <col min="2" max="4" width="13" style="1" customWidth="1"/>
    <col min="5" max="5" width="13.140625" style="1" customWidth="1"/>
    <col min="6" max="8" width="13" style="1" customWidth="1"/>
    <col min="9" max="18" width="14" style="2" customWidth="1"/>
    <col min="19" max="16384" width="8.85546875" style="2"/>
  </cols>
  <sheetData>
    <row r="1" spans="1:13" ht="25.9" customHeight="1" x14ac:dyDescent="0.3">
      <c r="A1" s="3"/>
    </row>
    <row r="2" spans="1:13" ht="25.9" customHeight="1" x14ac:dyDescent="0.3">
      <c r="A2" s="3"/>
      <c r="H2" s="6"/>
    </row>
    <row r="3" spans="1:13" ht="18.75" customHeight="1" x14ac:dyDescent="0.3">
      <c r="A3" s="3" t="s">
        <v>55</v>
      </c>
      <c r="I3" s="6" t="str">
        <f>+'Attachment A - Base'!I3</f>
        <v>BPA #25-01</v>
      </c>
    </row>
    <row r="4" spans="1:13" ht="20.100000000000001" customHeight="1" x14ac:dyDescent="0.25">
      <c r="A4" s="17">
        <f>+'Attachment A - Base'!A4</f>
        <v>45881</v>
      </c>
      <c r="B4" s="120"/>
    </row>
    <row r="5" spans="1:13" ht="15.75" x14ac:dyDescent="0.25">
      <c r="A5" s="17"/>
      <c r="B5" s="169"/>
      <c r="C5" s="169"/>
      <c r="D5" s="169"/>
      <c r="E5" s="169"/>
      <c r="F5" s="169"/>
      <c r="G5" s="169"/>
      <c r="H5" s="169"/>
    </row>
    <row r="6" spans="1:13" x14ac:dyDescent="0.25">
      <c r="I6" s="19"/>
    </row>
    <row r="7" spans="1:13" ht="75.75" thickBot="1" x14ac:dyDescent="0.3">
      <c r="A7" s="4"/>
      <c r="B7" s="5" t="s">
        <v>56</v>
      </c>
      <c r="C7" s="5" t="s">
        <v>57</v>
      </c>
      <c r="D7" s="5" t="s">
        <v>58</v>
      </c>
      <c r="E7" s="5" t="s">
        <v>59</v>
      </c>
      <c r="F7" s="5" t="s">
        <v>60</v>
      </c>
      <c r="G7" s="5" t="s">
        <v>61</v>
      </c>
      <c r="H7" s="5" t="s">
        <v>62</v>
      </c>
      <c r="I7" s="20" t="s">
        <v>63</v>
      </c>
    </row>
    <row r="8" spans="1:13" ht="19.149999999999999" customHeight="1" x14ac:dyDescent="0.25">
      <c r="A8" s="14"/>
      <c r="B8" s="16"/>
      <c r="C8" s="16"/>
      <c r="D8" s="16"/>
      <c r="E8" s="16"/>
      <c r="F8" s="16"/>
      <c r="G8" s="16"/>
      <c r="H8" s="16"/>
      <c r="I8" s="21"/>
    </row>
    <row r="9" spans="1:13" ht="19.149999999999999" customHeight="1" x14ac:dyDescent="0.25">
      <c r="A9" s="2" t="s">
        <v>17</v>
      </c>
      <c r="B9" s="7"/>
      <c r="C9" s="7"/>
      <c r="D9" s="7"/>
      <c r="E9" s="7"/>
      <c r="F9" s="7"/>
      <c r="G9" s="7"/>
      <c r="H9" s="7"/>
      <c r="I9" s="22">
        <f t="shared" ref="I9:I14" si="0">SUM(B9:H9)</f>
        <v>0</v>
      </c>
    </row>
    <row r="10" spans="1:13" ht="19.149999999999999" customHeight="1" x14ac:dyDescent="0.25">
      <c r="A10" s="2" t="s">
        <v>18</v>
      </c>
      <c r="B10" s="7">
        <f>+B22</f>
        <v>395802</v>
      </c>
      <c r="C10" s="7">
        <f>+B27</f>
        <v>972532</v>
      </c>
      <c r="D10" s="7">
        <f>C35</f>
        <v>4826476</v>
      </c>
      <c r="E10" s="7"/>
      <c r="F10" s="7"/>
      <c r="G10" s="7">
        <f>+C123</f>
        <v>485774</v>
      </c>
      <c r="H10" s="7">
        <f>+C143</f>
        <v>193296</v>
      </c>
      <c r="I10" s="22">
        <f t="shared" si="0"/>
        <v>6873880</v>
      </c>
      <c r="J10" s="116"/>
    </row>
    <row r="11" spans="1:13" ht="19.149999999999999" customHeight="1" x14ac:dyDescent="0.25">
      <c r="A11" s="2" t="s">
        <v>19</v>
      </c>
      <c r="B11" s="7"/>
      <c r="C11" s="7"/>
      <c r="D11" s="7"/>
      <c r="E11" s="7"/>
      <c r="F11" s="7"/>
      <c r="G11" s="7"/>
      <c r="H11" s="7">
        <f>+C147</f>
        <v>2722</v>
      </c>
      <c r="I11" s="22">
        <f t="shared" si="0"/>
        <v>2722</v>
      </c>
    </row>
    <row r="12" spans="1:13" ht="19.149999999999999" customHeight="1" x14ac:dyDescent="0.25">
      <c r="A12" s="2" t="s">
        <v>20</v>
      </c>
      <c r="B12" s="7"/>
      <c r="C12" s="7"/>
      <c r="D12" s="7">
        <f>C40</f>
        <v>3149275</v>
      </c>
      <c r="E12" s="7"/>
      <c r="F12" s="7"/>
      <c r="G12" s="7"/>
      <c r="H12" s="7"/>
      <c r="I12" s="22">
        <f t="shared" si="0"/>
        <v>3149275</v>
      </c>
    </row>
    <row r="13" spans="1:13" ht="19.149999999999999" customHeight="1" x14ac:dyDescent="0.25">
      <c r="A13" s="2" t="s">
        <v>21</v>
      </c>
      <c r="B13" s="7"/>
      <c r="C13" s="7"/>
      <c r="D13" s="7">
        <f>C45</f>
        <v>4090438</v>
      </c>
      <c r="E13" s="7">
        <f>B48</f>
        <v>8037825</v>
      </c>
      <c r="F13" s="7">
        <f>+C54</f>
        <v>1124840</v>
      </c>
      <c r="G13" s="7"/>
      <c r="H13" s="7">
        <f>+C150</f>
        <v>51127</v>
      </c>
      <c r="I13" s="22">
        <f t="shared" si="0"/>
        <v>13304230</v>
      </c>
      <c r="M13" s="106"/>
    </row>
    <row r="14" spans="1:13" ht="19.149999999999999" customHeight="1" x14ac:dyDescent="0.25">
      <c r="A14" s="2" t="s">
        <v>22</v>
      </c>
      <c r="B14" s="7"/>
      <c r="C14" s="7"/>
      <c r="D14" s="7"/>
      <c r="E14" s="7"/>
      <c r="F14" s="7"/>
      <c r="G14" s="7"/>
      <c r="H14" s="7">
        <f>+C153</f>
        <v>645180</v>
      </c>
      <c r="I14" s="22">
        <f t="shared" si="0"/>
        <v>645180</v>
      </c>
      <c r="M14" s="106"/>
    </row>
    <row r="15" spans="1:13" ht="19.149999999999999" customHeight="1" x14ac:dyDescent="0.25">
      <c r="A15" s="9" t="s">
        <v>23</v>
      </c>
      <c r="B15" s="8">
        <f t="shared" ref="B15:I15" si="1">SUM(B9:B14)</f>
        <v>395802</v>
      </c>
      <c r="C15" s="8">
        <f t="shared" si="1"/>
        <v>972532</v>
      </c>
      <c r="D15" s="8">
        <f t="shared" si="1"/>
        <v>12066189</v>
      </c>
      <c r="E15" s="8">
        <f t="shared" si="1"/>
        <v>8037825</v>
      </c>
      <c r="F15" s="8">
        <f t="shared" si="1"/>
        <v>1124840</v>
      </c>
      <c r="G15" s="8">
        <f t="shared" si="1"/>
        <v>485774</v>
      </c>
      <c r="H15" s="8">
        <f t="shared" si="1"/>
        <v>892325</v>
      </c>
      <c r="I15" s="23">
        <f t="shared" si="1"/>
        <v>23975287</v>
      </c>
    </row>
    <row r="16" spans="1:13" ht="19.149999999999999" customHeight="1" x14ac:dyDescent="0.25">
      <c r="A16" s="2" t="s">
        <v>24</v>
      </c>
      <c r="B16" s="7">
        <f>+B23</f>
        <v>84411</v>
      </c>
      <c r="C16" s="7">
        <f>+B28</f>
        <v>324177</v>
      </c>
      <c r="D16" s="18"/>
      <c r="I16" s="22">
        <f>SUM(B16:H16)</f>
        <v>408588</v>
      </c>
      <c r="J16" s="116"/>
    </row>
    <row r="17" spans="1:10" ht="19.149999999999999" customHeight="1" x14ac:dyDescent="0.25">
      <c r="A17" s="2" t="s">
        <v>25</v>
      </c>
      <c r="B17" s="7"/>
      <c r="C17" s="7"/>
      <c r="D17" s="7"/>
      <c r="E17" s="7"/>
      <c r="F17" s="7"/>
      <c r="G17" s="7"/>
      <c r="H17" s="7">
        <f>28875</f>
        <v>28875</v>
      </c>
      <c r="I17" s="22">
        <f>SUM(B17:H17)</f>
        <v>28875</v>
      </c>
      <c r="J17" s="116"/>
    </row>
    <row r="18" spans="1:10" ht="15" customHeight="1" thickBot="1" x14ac:dyDescent="0.3">
      <c r="A18" s="10" t="s">
        <v>26</v>
      </c>
      <c r="B18" s="11">
        <f t="shared" ref="B18:I18" si="2">SUM(B15:B17)</f>
        <v>480213</v>
      </c>
      <c r="C18" s="11">
        <f t="shared" si="2"/>
        <v>1296709</v>
      </c>
      <c r="D18" s="11">
        <f t="shared" si="2"/>
        <v>12066189</v>
      </c>
      <c r="E18" s="11">
        <f t="shared" si="2"/>
        <v>8037825</v>
      </c>
      <c r="F18" s="11">
        <f t="shared" si="2"/>
        <v>1124840</v>
      </c>
      <c r="G18" s="11">
        <f t="shared" si="2"/>
        <v>485774</v>
      </c>
      <c r="H18" s="11">
        <f t="shared" si="2"/>
        <v>921200</v>
      </c>
      <c r="I18" s="24">
        <f t="shared" si="2"/>
        <v>24412750</v>
      </c>
    </row>
    <row r="19" spans="1:10" ht="15" customHeight="1" x14ac:dyDescent="0.25">
      <c r="A19" s="70" t="s">
        <v>64</v>
      </c>
      <c r="B19" s="12"/>
      <c r="C19" s="13"/>
      <c r="D19" s="13"/>
      <c r="E19" s="13"/>
      <c r="F19" s="13"/>
      <c r="G19" s="13"/>
      <c r="H19" s="13"/>
      <c r="I19" s="13"/>
    </row>
    <row r="20" spans="1:10" x14ac:dyDescent="0.25">
      <c r="B20" s="123"/>
      <c r="C20" s="13"/>
      <c r="D20" s="13"/>
      <c r="E20" s="13"/>
      <c r="F20" s="13"/>
    </row>
    <row r="21" spans="1:10" x14ac:dyDescent="0.25">
      <c r="A21" s="67" t="s">
        <v>65</v>
      </c>
      <c r="B21" s="123"/>
      <c r="C21" s="13"/>
      <c r="D21" s="13"/>
      <c r="E21" s="13"/>
      <c r="F21" s="13"/>
    </row>
    <row r="22" spans="1:10" x14ac:dyDescent="0.25">
      <c r="A22" s="2" t="s">
        <v>66</v>
      </c>
      <c r="B22" s="74">
        <v>395802</v>
      </c>
      <c r="C22" s="13"/>
      <c r="D22" s="116">
        <v>0.46889999999999998</v>
      </c>
      <c r="E22" s="13"/>
      <c r="F22" s="13"/>
      <c r="G22" s="68"/>
    </row>
    <row r="23" spans="1:10" x14ac:dyDescent="0.25">
      <c r="A23" s="2" t="s">
        <v>67</v>
      </c>
      <c r="B23" s="74">
        <v>84411</v>
      </c>
      <c r="C23" s="13"/>
      <c r="D23" s="116">
        <v>0.1</v>
      </c>
      <c r="E23" s="13"/>
      <c r="F23" s="13"/>
      <c r="G23" s="68"/>
    </row>
    <row r="24" spans="1:10" x14ac:dyDescent="0.25">
      <c r="A24" s="2" t="s">
        <v>68</v>
      </c>
      <c r="B24" s="74">
        <v>363894</v>
      </c>
      <c r="C24" s="13"/>
      <c r="D24" s="116">
        <v>0.43109999999999998</v>
      </c>
      <c r="E24" s="13"/>
      <c r="F24" s="13"/>
      <c r="G24" s="68"/>
    </row>
    <row r="25" spans="1:10" x14ac:dyDescent="0.25">
      <c r="A25" s="71" t="s">
        <v>69</v>
      </c>
      <c r="B25" s="69"/>
      <c r="C25" s="69">
        <f>SUM(B22:B24)</f>
        <v>844107</v>
      </c>
      <c r="D25" s="140">
        <f>SUM(D22:D24)</f>
        <v>1</v>
      </c>
      <c r="E25" s="13"/>
      <c r="F25" s="13"/>
      <c r="G25" s="68"/>
    </row>
    <row r="26" spans="1:10" x14ac:dyDescent="0.25">
      <c r="B26" s="74"/>
      <c r="C26" s="13"/>
      <c r="D26" s="116"/>
      <c r="E26" s="13"/>
      <c r="F26" s="13"/>
      <c r="G26" s="68"/>
    </row>
    <row r="27" spans="1:10" x14ac:dyDescent="0.25">
      <c r="A27" s="2" t="s">
        <v>70</v>
      </c>
      <c r="B27" s="74">
        <v>972532</v>
      </c>
      <c r="C27" s="13"/>
      <c r="D27" s="116">
        <v>0.75</v>
      </c>
      <c r="E27" s="13"/>
      <c r="F27" s="13"/>
      <c r="G27" s="68"/>
    </row>
    <row r="28" spans="1:10" x14ac:dyDescent="0.25">
      <c r="A28" s="2" t="s">
        <v>70</v>
      </c>
      <c r="B28" s="74">
        <v>324177</v>
      </c>
      <c r="C28" s="13"/>
      <c r="D28" s="116">
        <v>0.25</v>
      </c>
      <c r="E28" s="13"/>
      <c r="F28" s="13"/>
    </row>
    <row r="29" spans="1:10" x14ac:dyDescent="0.25">
      <c r="A29" s="71" t="s">
        <v>69</v>
      </c>
      <c r="B29" s="69"/>
      <c r="C29" s="69">
        <f>SUM(B27:B28)</f>
        <v>1296709</v>
      </c>
      <c r="D29" s="140">
        <f>SUM(D27:D28)</f>
        <v>1</v>
      </c>
      <c r="E29" s="13"/>
      <c r="F29" s="13"/>
    </row>
    <row r="30" spans="1:10" x14ac:dyDescent="0.25">
      <c r="B30" s="12"/>
      <c r="C30" s="13"/>
      <c r="D30" s="116"/>
      <c r="E30" s="13"/>
      <c r="F30" s="13"/>
    </row>
    <row r="31" spans="1:10" x14ac:dyDescent="0.25">
      <c r="A31" s="67" t="s">
        <v>71</v>
      </c>
      <c r="B31" s="2"/>
      <c r="C31" s="2"/>
      <c r="D31" s="116"/>
      <c r="F31" s="13"/>
    </row>
    <row r="32" spans="1:10" x14ac:dyDescent="0.25">
      <c r="A32" t="s">
        <v>72</v>
      </c>
      <c r="B32" s="7">
        <f>ROUND(12066189*D32,0)+1</f>
        <v>2111584</v>
      </c>
      <c r="C32" s="2"/>
      <c r="D32" s="116">
        <v>0.17499999999999999</v>
      </c>
      <c r="E32" s="102"/>
      <c r="F32" s="13"/>
    </row>
    <row r="33" spans="1:7" x14ac:dyDescent="0.25">
      <c r="A33" t="s">
        <v>73</v>
      </c>
      <c r="B33" s="7">
        <f>ROUND(12066189*D33,0)</f>
        <v>832567</v>
      </c>
      <c r="C33" s="2"/>
      <c r="D33" s="116">
        <v>6.9000000000000006E-2</v>
      </c>
      <c r="E33" s="102"/>
      <c r="F33" s="13"/>
    </row>
    <row r="34" spans="1:7" x14ac:dyDescent="0.25">
      <c r="A34" t="s">
        <v>74</v>
      </c>
      <c r="B34" s="7">
        <f>ROUND(12066189*D34,0)</f>
        <v>1882325</v>
      </c>
      <c r="C34" s="2"/>
      <c r="D34" s="116">
        <v>0.156</v>
      </c>
      <c r="E34" s="102"/>
      <c r="F34" s="13"/>
    </row>
    <row r="35" spans="1:7" x14ac:dyDescent="0.25">
      <c r="A35" s="71" t="s">
        <v>69</v>
      </c>
      <c r="B35" s="69"/>
      <c r="C35" s="69">
        <f>SUM(B32:B34)</f>
        <v>4826476</v>
      </c>
      <c r="D35" s="140">
        <f>SUM(D32:D34)</f>
        <v>0.4</v>
      </c>
      <c r="E35" s="102"/>
      <c r="F35" s="13"/>
    </row>
    <row r="36" spans="1:7" x14ac:dyDescent="0.25">
      <c r="A36" s="71"/>
      <c r="B36" s="2"/>
      <c r="C36" s="2"/>
      <c r="D36" s="141"/>
      <c r="E36" s="102"/>
      <c r="F36" s="13"/>
    </row>
    <row r="37" spans="1:7" x14ac:dyDescent="0.25">
      <c r="A37" t="s">
        <v>75</v>
      </c>
      <c r="B37" s="7">
        <f t="shared" ref="B37:B39" si="3">ROUND(12066189*D37,0)</f>
        <v>711905</v>
      </c>
      <c r="C37" s="2"/>
      <c r="D37" s="116">
        <v>5.8999999999999997E-2</v>
      </c>
      <c r="E37" s="102"/>
      <c r="F37" s="13"/>
    </row>
    <row r="38" spans="1:7" x14ac:dyDescent="0.25">
      <c r="A38" t="s">
        <v>76</v>
      </c>
      <c r="B38" s="7">
        <f t="shared" si="3"/>
        <v>530912</v>
      </c>
      <c r="C38" s="2"/>
      <c r="D38" s="116">
        <v>4.3999999999999997E-2</v>
      </c>
      <c r="E38" s="102"/>
      <c r="F38" s="13"/>
    </row>
    <row r="39" spans="1:7" x14ac:dyDescent="0.25">
      <c r="A39" t="s">
        <v>77</v>
      </c>
      <c r="B39" s="7">
        <f t="shared" si="3"/>
        <v>1906458</v>
      </c>
      <c r="C39" s="2"/>
      <c r="D39" s="116">
        <v>0.158</v>
      </c>
      <c r="E39" s="102"/>
      <c r="F39" s="13"/>
    </row>
    <row r="40" spans="1:7" x14ac:dyDescent="0.25">
      <c r="A40" s="71" t="s">
        <v>78</v>
      </c>
      <c r="B40" s="69"/>
      <c r="C40" s="69">
        <f>SUM(B37:B39)</f>
        <v>3149275</v>
      </c>
      <c r="D40" s="140">
        <f>SUM(D37:D39)</f>
        <v>0.26100000000000001</v>
      </c>
      <c r="E40" s="102"/>
      <c r="F40" s="13"/>
    </row>
    <row r="41" spans="1:7" x14ac:dyDescent="0.25">
      <c r="A41" s="71"/>
      <c r="B41" s="2"/>
      <c r="C41" s="2"/>
      <c r="D41" s="141"/>
      <c r="E41" s="102"/>
      <c r="F41" s="13"/>
    </row>
    <row r="42" spans="1:7" x14ac:dyDescent="0.25">
      <c r="A42" s="2" t="s">
        <v>79</v>
      </c>
      <c r="B42" s="7">
        <f t="shared" ref="B42:B44" si="4">ROUND(12066189*D42,0)</f>
        <v>3559526</v>
      </c>
      <c r="C42" s="2"/>
      <c r="D42" s="116">
        <v>0.29499999999999998</v>
      </c>
      <c r="E42" s="102"/>
      <c r="F42" s="13"/>
    </row>
    <row r="43" spans="1:7" x14ac:dyDescent="0.25">
      <c r="A43" s="2" t="s">
        <v>80</v>
      </c>
      <c r="B43" s="7">
        <f t="shared" si="4"/>
        <v>313721</v>
      </c>
      <c r="C43" s="2"/>
      <c r="D43" s="116">
        <v>2.5999999999999999E-2</v>
      </c>
      <c r="E43" s="102"/>
      <c r="F43" s="13"/>
    </row>
    <row r="44" spans="1:7" x14ac:dyDescent="0.25">
      <c r="A44" s="2" t="s">
        <v>81</v>
      </c>
      <c r="B44" s="7">
        <f t="shared" si="4"/>
        <v>217191</v>
      </c>
      <c r="C44" s="2"/>
      <c r="D44" s="116">
        <v>1.7999999999999999E-2</v>
      </c>
      <c r="E44" s="102"/>
      <c r="F44" s="13"/>
    </row>
    <row r="45" spans="1:7" x14ac:dyDescent="0.25">
      <c r="A45" s="71" t="s">
        <v>82</v>
      </c>
      <c r="B45" s="69"/>
      <c r="C45" s="69">
        <f>SUM(B42:B44)</f>
        <v>4090438</v>
      </c>
      <c r="D45" s="142">
        <f>SUM(D42:D44)</f>
        <v>0.33900000000000002</v>
      </c>
      <c r="E45" s="102"/>
      <c r="F45" s="13"/>
    </row>
    <row r="46" spans="1:7" x14ac:dyDescent="0.25">
      <c r="B46" s="2"/>
      <c r="C46" s="2"/>
      <c r="D46" s="116"/>
      <c r="E46" s="13"/>
      <c r="F46" s="13"/>
    </row>
    <row r="47" spans="1:7" x14ac:dyDescent="0.25">
      <c r="A47" s="67" t="s">
        <v>83</v>
      </c>
      <c r="B47" s="2"/>
      <c r="C47" s="2"/>
      <c r="D47" s="116"/>
      <c r="E47" s="13"/>
      <c r="F47" s="13"/>
    </row>
    <row r="48" spans="1:7" x14ac:dyDescent="0.25">
      <c r="A48" s="2" t="s">
        <v>84</v>
      </c>
      <c r="B48" s="2">
        <v>8037825</v>
      </c>
      <c r="C48" s="2"/>
      <c r="D48" s="116"/>
      <c r="E48" s="13"/>
      <c r="F48" s="137"/>
      <c r="G48" s="139"/>
    </row>
    <row r="49" spans="1:7" x14ac:dyDescent="0.25">
      <c r="A49" s="71" t="s">
        <v>82</v>
      </c>
      <c r="B49" s="73"/>
      <c r="C49" s="73">
        <f>B48</f>
        <v>8037825</v>
      </c>
      <c r="D49" s="116"/>
      <c r="E49" s="13"/>
      <c r="F49" s="137"/>
      <c r="G49" s="139"/>
    </row>
    <row r="50" spans="1:7" x14ac:dyDescent="0.25">
      <c r="B50" s="2"/>
      <c r="C50" s="2"/>
      <c r="D50" s="116"/>
      <c r="E50" s="13"/>
      <c r="F50" s="138"/>
    </row>
    <row r="51" spans="1:7" x14ac:dyDescent="0.25">
      <c r="A51" s="67" t="s">
        <v>85</v>
      </c>
      <c r="B51" s="2"/>
      <c r="C51" s="2"/>
      <c r="D51" s="116"/>
    </row>
    <row r="52" spans="1:7" x14ac:dyDescent="0.25">
      <c r="A52" s="2" t="s">
        <v>86</v>
      </c>
      <c r="B52" s="2">
        <f>ROUND(1124840*D52,0)</f>
        <v>1084726</v>
      </c>
      <c r="C52" s="2"/>
      <c r="D52" s="116">
        <f>189.29/196.29</f>
        <v>0.96433847878139489</v>
      </c>
      <c r="F52" s="18"/>
    </row>
    <row r="53" spans="1:7" x14ac:dyDescent="0.25">
      <c r="A53" s="2" t="s">
        <v>87</v>
      </c>
      <c r="B53" s="2">
        <f>ROUND(1124840*D53,0)</f>
        <v>40114</v>
      </c>
      <c r="C53" s="2"/>
      <c r="D53" s="116">
        <f>7/196.29</f>
        <v>3.5661521218605129E-2</v>
      </c>
    </row>
    <row r="54" spans="1:7" x14ac:dyDescent="0.25">
      <c r="A54" s="71" t="s">
        <v>82</v>
      </c>
      <c r="B54" s="69"/>
      <c r="C54" s="69">
        <f>SUM(B52:B53)</f>
        <v>1124840</v>
      </c>
      <c r="D54" s="140">
        <f>SUM(D52:D53)</f>
        <v>1</v>
      </c>
    </row>
    <row r="55" spans="1:7" x14ac:dyDescent="0.25">
      <c r="A55" s="108" t="s">
        <v>88</v>
      </c>
      <c r="B55" s="2"/>
      <c r="C55" s="2"/>
    </row>
    <row r="57" spans="1:7" x14ac:dyDescent="0.25">
      <c r="A57" s="67" t="s">
        <v>89</v>
      </c>
    </row>
    <row r="58" spans="1:7" x14ac:dyDescent="0.25">
      <c r="A58" t="s">
        <v>90</v>
      </c>
      <c r="B58" s="2">
        <v>532</v>
      </c>
      <c r="C58" s="68"/>
    </row>
    <row r="59" spans="1:7" x14ac:dyDescent="0.25">
      <c r="A59" t="s">
        <v>91</v>
      </c>
      <c r="B59" s="2">
        <f>1707+2613</f>
        <v>4320</v>
      </c>
      <c r="C59" s="68" t="s">
        <v>92</v>
      </c>
    </row>
    <row r="60" spans="1:7" x14ac:dyDescent="0.25">
      <c r="A60" t="s">
        <v>93</v>
      </c>
      <c r="B60" s="2">
        <v>2792</v>
      </c>
      <c r="C60" s="68"/>
    </row>
    <row r="61" spans="1:7" x14ac:dyDescent="0.25">
      <c r="A61" t="s">
        <v>94</v>
      </c>
      <c r="B61" s="2">
        <v>2833</v>
      </c>
      <c r="C61" s="68"/>
    </row>
    <row r="62" spans="1:7" x14ac:dyDescent="0.25">
      <c r="A62" t="s">
        <v>95</v>
      </c>
      <c r="B62" s="2">
        <v>2733</v>
      </c>
      <c r="C62" s="68"/>
    </row>
    <row r="63" spans="1:7" x14ac:dyDescent="0.25">
      <c r="A63" t="s">
        <v>96</v>
      </c>
      <c r="B63" s="2">
        <v>5001</v>
      </c>
      <c r="C63" s="68"/>
    </row>
    <row r="64" spans="1:7" x14ac:dyDescent="0.25">
      <c r="A64" t="s">
        <v>97</v>
      </c>
      <c r="B64" s="2">
        <v>35</v>
      </c>
      <c r="C64" s="68"/>
    </row>
    <row r="65" spans="1:3" x14ac:dyDescent="0.25">
      <c r="A65" t="s">
        <v>98</v>
      </c>
      <c r="B65" s="2">
        <v>262</v>
      </c>
      <c r="C65" s="68"/>
    </row>
    <row r="66" spans="1:3" x14ac:dyDescent="0.25">
      <c r="A66" t="s">
        <v>99</v>
      </c>
      <c r="B66" s="2">
        <v>820</v>
      </c>
      <c r="C66" s="68"/>
    </row>
    <row r="67" spans="1:3" x14ac:dyDescent="0.25">
      <c r="A67" t="s">
        <v>100</v>
      </c>
      <c r="B67" s="2">
        <v>653</v>
      </c>
      <c r="C67" s="68"/>
    </row>
    <row r="68" spans="1:3" x14ac:dyDescent="0.25">
      <c r="A68" t="s">
        <v>101</v>
      </c>
      <c r="B68" s="2">
        <v>4783</v>
      </c>
      <c r="C68" s="68"/>
    </row>
    <row r="69" spans="1:3" x14ac:dyDescent="0.25">
      <c r="A69" t="s">
        <v>102</v>
      </c>
      <c r="B69" s="2">
        <v>670</v>
      </c>
      <c r="C69" s="68"/>
    </row>
    <row r="70" spans="1:3" x14ac:dyDescent="0.25">
      <c r="A70" t="s">
        <v>103</v>
      </c>
      <c r="B70" s="2">
        <v>6968</v>
      </c>
      <c r="C70" s="68"/>
    </row>
    <row r="71" spans="1:3" x14ac:dyDescent="0.25">
      <c r="A71" t="s">
        <v>104</v>
      </c>
      <c r="B71" s="2">
        <f>1635+7725</f>
        <v>9360</v>
      </c>
      <c r="C71" s="68" t="s">
        <v>92</v>
      </c>
    </row>
    <row r="72" spans="1:3" x14ac:dyDescent="0.25">
      <c r="A72" t="s">
        <v>105</v>
      </c>
      <c r="B72" s="2">
        <v>15086</v>
      </c>
      <c r="C72" s="68"/>
    </row>
    <row r="73" spans="1:3" x14ac:dyDescent="0.25">
      <c r="A73" t="s">
        <v>106</v>
      </c>
      <c r="B73" s="2">
        <f>10781+25149</f>
        <v>35930</v>
      </c>
      <c r="C73" s="68" t="s">
        <v>92</v>
      </c>
    </row>
    <row r="74" spans="1:3" x14ac:dyDescent="0.25">
      <c r="A74" t="s">
        <v>107</v>
      </c>
      <c r="B74" s="2">
        <v>9445</v>
      </c>
      <c r="C74" s="68"/>
    </row>
    <row r="75" spans="1:3" x14ac:dyDescent="0.25">
      <c r="A75" t="s">
        <v>108</v>
      </c>
      <c r="B75" s="2">
        <f>6326+5644</f>
        <v>11970</v>
      </c>
      <c r="C75" s="68" t="s">
        <v>92</v>
      </c>
    </row>
    <row r="76" spans="1:3" x14ac:dyDescent="0.25">
      <c r="A76" t="s">
        <v>109</v>
      </c>
      <c r="B76" s="2">
        <v>17784</v>
      </c>
      <c r="C76" s="68"/>
    </row>
    <row r="77" spans="1:3" x14ac:dyDescent="0.25">
      <c r="A77" t="s">
        <v>110</v>
      </c>
      <c r="B77" s="2">
        <v>6474</v>
      </c>
      <c r="C77" s="68"/>
    </row>
    <row r="78" spans="1:3" x14ac:dyDescent="0.25">
      <c r="A78" t="s">
        <v>111</v>
      </c>
      <c r="B78" s="2">
        <v>547</v>
      </c>
      <c r="C78" s="68"/>
    </row>
    <row r="79" spans="1:3" x14ac:dyDescent="0.25">
      <c r="A79" t="s">
        <v>112</v>
      </c>
      <c r="B79" s="2">
        <v>1973</v>
      </c>
      <c r="C79" s="68"/>
    </row>
    <row r="80" spans="1:3" x14ac:dyDescent="0.25">
      <c r="A80" t="s">
        <v>113</v>
      </c>
      <c r="B80" s="2">
        <f>1960+7040</f>
        <v>9000</v>
      </c>
      <c r="C80" s="68" t="s">
        <v>92</v>
      </c>
    </row>
    <row r="81" spans="1:3" x14ac:dyDescent="0.25">
      <c r="A81" t="s">
        <v>114</v>
      </c>
      <c r="B81" s="2">
        <v>3087</v>
      </c>
      <c r="C81" s="68"/>
    </row>
    <row r="82" spans="1:3" x14ac:dyDescent="0.25">
      <c r="A82" t="s">
        <v>115</v>
      </c>
      <c r="B82" s="2">
        <v>900</v>
      </c>
      <c r="C82" s="68"/>
    </row>
    <row r="83" spans="1:3" x14ac:dyDescent="0.25">
      <c r="A83" t="s">
        <v>116</v>
      </c>
      <c r="B83" s="2">
        <v>0</v>
      </c>
      <c r="C83" s="68"/>
    </row>
    <row r="84" spans="1:3" x14ac:dyDescent="0.25">
      <c r="A84" t="s">
        <v>117</v>
      </c>
      <c r="B84" s="2">
        <v>0</v>
      </c>
      <c r="C84" s="68"/>
    </row>
    <row r="85" spans="1:3" x14ac:dyDescent="0.25">
      <c r="A85" t="s">
        <v>118</v>
      </c>
      <c r="B85" s="2">
        <v>-5513</v>
      </c>
      <c r="C85" s="68"/>
    </row>
    <row r="86" spans="1:3" x14ac:dyDescent="0.25">
      <c r="A86" t="s">
        <v>119</v>
      </c>
      <c r="B86" s="2">
        <v>2975</v>
      </c>
      <c r="C86" s="68"/>
    </row>
    <row r="87" spans="1:3" x14ac:dyDescent="0.25">
      <c r="A87" t="s">
        <v>120</v>
      </c>
      <c r="B87" s="2">
        <v>2130</v>
      </c>
      <c r="C87" s="68"/>
    </row>
    <row r="88" spans="1:3" x14ac:dyDescent="0.25">
      <c r="A88" t="s">
        <v>121</v>
      </c>
      <c r="B88" s="2">
        <v>203</v>
      </c>
      <c r="C88" s="68"/>
    </row>
    <row r="89" spans="1:3" x14ac:dyDescent="0.25">
      <c r="A89" t="s">
        <v>122</v>
      </c>
      <c r="B89" s="2">
        <v>92400</v>
      </c>
      <c r="C89" s="68" t="s">
        <v>92</v>
      </c>
    </row>
    <row r="90" spans="1:3" x14ac:dyDescent="0.25">
      <c r="A90" t="s">
        <v>123</v>
      </c>
      <c r="B90" s="2">
        <v>7096</v>
      </c>
      <c r="C90" s="68"/>
    </row>
    <row r="91" spans="1:3" x14ac:dyDescent="0.25">
      <c r="A91" t="s">
        <v>124</v>
      </c>
      <c r="B91" s="2">
        <v>7282</v>
      </c>
      <c r="C91" s="68"/>
    </row>
    <row r="92" spans="1:3" x14ac:dyDescent="0.25">
      <c r="A92" t="s">
        <v>125</v>
      </c>
      <c r="B92" s="2">
        <v>11017</v>
      </c>
      <c r="C92" s="68"/>
    </row>
    <row r="93" spans="1:3" x14ac:dyDescent="0.25">
      <c r="A93" t="s">
        <v>126</v>
      </c>
      <c r="B93" s="2">
        <v>6651</v>
      </c>
      <c r="C93" s="68"/>
    </row>
    <row r="94" spans="1:3" x14ac:dyDescent="0.25">
      <c r="A94" t="s">
        <v>127</v>
      </c>
      <c r="B94" s="2">
        <v>6584</v>
      </c>
      <c r="C94" s="68"/>
    </row>
    <row r="95" spans="1:3" x14ac:dyDescent="0.25">
      <c r="A95" t="s">
        <v>128</v>
      </c>
      <c r="B95" s="2">
        <v>0</v>
      </c>
      <c r="C95" s="68"/>
    </row>
    <row r="96" spans="1:3" x14ac:dyDescent="0.25">
      <c r="A96" t="s">
        <v>129</v>
      </c>
      <c r="B96" s="2">
        <v>7031</v>
      </c>
      <c r="C96" s="68"/>
    </row>
    <row r="97" spans="1:3" x14ac:dyDescent="0.25">
      <c r="A97" t="s">
        <v>130</v>
      </c>
      <c r="B97" s="2">
        <v>650</v>
      </c>
      <c r="C97" s="68"/>
    </row>
    <row r="98" spans="1:3" x14ac:dyDescent="0.25">
      <c r="A98" t="s">
        <v>131</v>
      </c>
      <c r="B98" s="2">
        <v>11507</v>
      </c>
      <c r="C98" s="68"/>
    </row>
    <row r="99" spans="1:3" x14ac:dyDescent="0.25">
      <c r="A99" t="s">
        <v>132</v>
      </c>
      <c r="B99" s="2">
        <v>20206</v>
      </c>
      <c r="C99" s="68"/>
    </row>
    <row r="100" spans="1:3" x14ac:dyDescent="0.25">
      <c r="A100" t="s">
        <v>133</v>
      </c>
      <c r="B100" s="2">
        <v>16114</v>
      </c>
      <c r="C100" s="68"/>
    </row>
    <row r="101" spans="1:3" x14ac:dyDescent="0.25">
      <c r="A101" t="s">
        <v>134</v>
      </c>
      <c r="B101" s="2">
        <v>44017</v>
      </c>
      <c r="C101" s="68"/>
    </row>
    <row r="102" spans="1:3" x14ac:dyDescent="0.25">
      <c r="A102" t="s">
        <v>135</v>
      </c>
      <c r="B102" s="2">
        <v>700</v>
      </c>
      <c r="C102" s="68"/>
    </row>
    <row r="103" spans="1:3" x14ac:dyDescent="0.25">
      <c r="A103" t="s">
        <v>136</v>
      </c>
      <c r="B103" s="2">
        <v>2100</v>
      </c>
      <c r="C103" s="68"/>
    </row>
    <row r="104" spans="1:3" x14ac:dyDescent="0.25">
      <c r="A104" t="s">
        <v>137</v>
      </c>
      <c r="B104" s="2">
        <v>1900</v>
      </c>
      <c r="C104" s="68"/>
    </row>
    <row r="105" spans="1:3" x14ac:dyDescent="0.25">
      <c r="A105" t="s">
        <v>138</v>
      </c>
      <c r="B105" s="2">
        <v>26261</v>
      </c>
      <c r="C105" s="68"/>
    </row>
    <row r="106" spans="1:3" x14ac:dyDescent="0.25">
      <c r="A106" t="s">
        <v>139</v>
      </c>
      <c r="B106" s="2">
        <v>1759</v>
      </c>
      <c r="C106" s="68"/>
    </row>
    <row r="107" spans="1:3" x14ac:dyDescent="0.25">
      <c r="A107" t="s">
        <v>140</v>
      </c>
      <c r="B107" s="2">
        <v>2491</v>
      </c>
      <c r="C107" s="68"/>
    </row>
    <row r="108" spans="1:3" x14ac:dyDescent="0.25">
      <c r="A108" t="s">
        <v>141</v>
      </c>
      <c r="B108" s="2">
        <v>2750</v>
      </c>
      <c r="C108" s="68"/>
    </row>
    <row r="109" spans="1:3" x14ac:dyDescent="0.25">
      <c r="A109" t="s">
        <v>142</v>
      </c>
      <c r="B109" s="2">
        <v>308</v>
      </c>
      <c r="C109" s="68"/>
    </row>
    <row r="110" spans="1:3" x14ac:dyDescent="0.25">
      <c r="A110" t="s">
        <v>143</v>
      </c>
      <c r="B110" s="2">
        <v>2701</v>
      </c>
      <c r="C110" s="68"/>
    </row>
    <row r="111" spans="1:3" x14ac:dyDescent="0.25">
      <c r="A111" t="s">
        <v>144</v>
      </c>
      <c r="B111" s="2">
        <v>4125</v>
      </c>
      <c r="C111" s="68"/>
    </row>
    <row r="112" spans="1:3" x14ac:dyDescent="0.25">
      <c r="A112" t="s">
        <v>145</v>
      </c>
      <c r="B112" s="2">
        <v>4376</v>
      </c>
      <c r="C112" s="68"/>
    </row>
    <row r="113" spans="1:3" x14ac:dyDescent="0.25">
      <c r="A113" t="s">
        <v>146</v>
      </c>
      <c r="B113" s="2">
        <v>0</v>
      </c>
      <c r="C113" s="68"/>
    </row>
    <row r="114" spans="1:3" x14ac:dyDescent="0.25">
      <c r="A114" t="s">
        <v>147</v>
      </c>
      <c r="B114" s="2">
        <v>4775</v>
      </c>
      <c r="C114" s="68"/>
    </row>
    <row r="115" spans="1:3" x14ac:dyDescent="0.25">
      <c r="A115" t="s">
        <v>148</v>
      </c>
      <c r="B115" s="2">
        <v>2460</v>
      </c>
      <c r="C115" s="68"/>
    </row>
    <row r="116" spans="1:3" x14ac:dyDescent="0.25">
      <c r="A116" t="s">
        <v>149</v>
      </c>
      <c r="B116" s="2">
        <v>6480</v>
      </c>
      <c r="C116" s="68" t="s">
        <v>150</v>
      </c>
    </row>
    <row r="117" spans="1:3" x14ac:dyDescent="0.25">
      <c r="A117" t="s">
        <v>151</v>
      </c>
      <c r="B117" s="2">
        <v>3200</v>
      </c>
      <c r="C117" s="68" t="s">
        <v>150</v>
      </c>
    </row>
    <row r="118" spans="1:3" x14ac:dyDescent="0.25">
      <c r="A118" t="s">
        <v>152</v>
      </c>
      <c r="B118" s="2">
        <v>4600</v>
      </c>
      <c r="C118" s="68" t="s">
        <v>150</v>
      </c>
    </row>
    <row r="119" spans="1:3" x14ac:dyDescent="0.25">
      <c r="A119" t="s">
        <v>153</v>
      </c>
      <c r="B119" s="2">
        <v>10800</v>
      </c>
      <c r="C119" s="68" t="s">
        <v>150</v>
      </c>
    </row>
    <row r="120" spans="1:3" x14ac:dyDescent="0.25">
      <c r="A120" t="s">
        <v>154</v>
      </c>
      <c r="B120" s="2">
        <v>3600</v>
      </c>
      <c r="C120" s="68" t="s">
        <v>150</v>
      </c>
    </row>
    <row r="121" spans="1:3" x14ac:dyDescent="0.25">
      <c r="A121" t="s">
        <v>155</v>
      </c>
      <c r="B121" s="2">
        <v>8400</v>
      </c>
      <c r="C121" s="68" t="s">
        <v>150</v>
      </c>
    </row>
    <row r="122" spans="1:3" x14ac:dyDescent="0.25">
      <c r="A122" t="s">
        <v>156</v>
      </c>
      <c r="B122" s="2">
        <v>7680</v>
      </c>
      <c r="C122" s="68" t="s">
        <v>150</v>
      </c>
    </row>
    <row r="123" spans="1:3" x14ac:dyDescent="0.25">
      <c r="A123" s="71" t="s">
        <v>69</v>
      </c>
      <c r="B123" s="69"/>
      <c r="C123" s="69">
        <f>SUM(B58:B122)</f>
        <v>485774</v>
      </c>
    </row>
    <row r="124" spans="1:3" x14ac:dyDescent="0.25">
      <c r="A124" s="108" t="s">
        <v>157</v>
      </c>
      <c r="B124" s="2"/>
      <c r="C124" s="2"/>
    </row>
    <row r="125" spans="1:3" x14ac:dyDescent="0.25">
      <c r="A125" s="108" t="s">
        <v>158</v>
      </c>
      <c r="B125" s="2"/>
      <c r="C125" s="2"/>
    </row>
    <row r="126" spans="1:3" x14ac:dyDescent="0.25">
      <c r="A126" s="108"/>
      <c r="B126" s="2"/>
      <c r="C126" s="2"/>
    </row>
    <row r="128" spans="1:3" x14ac:dyDescent="0.25">
      <c r="A128" s="67" t="s">
        <v>159</v>
      </c>
    </row>
    <row r="129" spans="1:3" x14ac:dyDescent="0.25">
      <c r="A129" t="s">
        <v>160</v>
      </c>
      <c r="B129" s="117">
        <v>50840</v>
      </c>
      <c r="C129" s="72"/>
    </row>
    <row r="130" spans="1:3" x14ac:dyDescent="0.25">
      <c r="A130" t="s">
        <v>161</v>
      </c>
      <c r="B130" s="117">
        <v>9550</v>
      </c>
      <c r="C130" s="72"/>
    </row>
    <row r="131" spans="1:3" x14ac:dyDescent="0.25">
      <c r="A131" t="s">
        <v>162</v>
      </c>
      <c r="B131" s="117">
        <f>82054+22766</f>
        <v>104820</v>
      </c>
      <c r="C131" s="122" t="s">
        <v>92</v>
      </c>
    </row>
    <row r="132" spans="1:3" x14ac:dyDescent="0.25">
      <c r="A132" t="s">
        <v>163</v>
      </c>
      <c r="B132" s="117"/>
      <c r="C132" s="72"/>
    </row>
    <row r="133" spans="1:3" x14ac:dyDescent="0.25">
      <c r="A133" t="s">
        <v>164</v>
      </c>
      <c r="B133" s="117">
        <v>67</v>
      </c>
      <c r="C133" s="72"/>
    </row>
    <row r="134" spans="1:3" x14ac:dyDescent="0.25">
      <c r="A134" t="s">
        <v>165</v>
      </c>
      <c r="B134" s="117">
        <v>2316</v>
      </c>
      <c r="C134" s="72"/>
    </row>
    <row r="135" spans="1:3" x14ac:dyDescent="0.25">
      <c r="A135" t="s">
        <v>166</v>
      </c>
      <c r="B135" s="117"/>
      <c r="C135" s="72"/>
    </row>
    <row r="136" spans="1:3" x14ac:dyDescent="0.25">
      <c r="A136" t="s">
        <v>167</v>
      </c>
      <c r="B136" s="117">
        <v>238</v>
      </c>
      <c r="C136" s="72"/>
    </row>
    <row r="137" spans="1:3" x14ac:dyDescent="0.25">
      <c r="A137" t="s">
        <v>168</v>
      </c>
      <c r="B137" s="117">
        <v>15892</v>
      </c>
      <c r="C137" s="72"/>
    </row>
    <row r="138" spans="1:3" x14ac:dyDescent="0.25">
      <c r="A138" t="s">
        <v>169</v>
      </c>
      <c r="B138" s="117"/>
      <c r="C138" s="72"/>
    </row>
    <row r="139" spans="1:3" x14ac:dyDescent="0.25">
      <c r="A139" t="s">
        <v>170</v>
      </c>
      <c r="B139" s="117">
        <f>1911+784</f>
        <v>2695</v>
      </c>
      <c r="C139" s="72"/>
    </row>
    <row r="140" spans="1:3" x14ac:dyDescent="0.25">
      <c r="A140" t="s">
        <v>171</v>
      </c>
      <c r="B140" s="117">
        <v>130</v>
      </c>
      <c r="C140" s="72"/>
    </row>
    <row r="141" spans="1:3" x14ac:dyDescent="0.25">
      <c r="A141" t="s">
        <v>172</v>
      </c>
      <c r="B141" s="117">
        <v>6748</v>
      </c>
      <c r="C141" s="72"/>
    </row>
    <row r="142" spans="1:3" x14ac:dyDescent="0.25">
      <c r="A142" t="s">
        <v>173</v>
      </c>
      <c r="B142" s="117"/>
      <c r="C142" s="72"/>
    </row>
    <row r="143" spans="1:3" x14ac:dyDescent="0.25">
      <c r="A143" s="71" t="s">
        <v>69</v>
      </c>
      <c r="B143" s="69"/>
      <c r="C143" s="69">
        <f>SUM(B129:B142)</f>
        <v>193296</v>
      </c>
    </row>
    <row r="144" spans="1:3" x14ac:dyDescent="0.25">
      <c r="A144" s="108" t="s">
        <v>157</v>
      </c>
      <c r="B144" s="2"/>
      <c r="C144" s="2"/>
    </row>
    <row r="145" spans="1:3" x14ac:dyDescent="0.25">
      <c r="A145" s="71"/>
      <c r="B145" s="2"/>
      <c r="C145" s="2"/>
    </row>
    <row r="146" spans="1:3" x14ac:dyDescent="0.25">
      <c r="A146" t="s">
        <v>174</v>
      </c>
      <c r="B146" s="117">
        <v>2722</v>
      </c>
      <c r="C146" s="72"/>
    </row>
    <row r="147" spans="1:3" x14ac:dyDescent="0.25">
      <c r="A147" s="71" t="s">
        <v>175</v>
      </c>
      <c r="B147" s="118"/>
      <c r="C147" s="73">
        <f>B146</f>
        <v>2722</v>
      </c>
    </row>
    <row r="148" spans="1:3" x14ac:dyDescent="0.25">
      <c r="A148" s="71"/>
      <c r="B148" s="119"/>
      <c r="C148" s="81"/>
    </row>
    <row r="149" spans="1:3" x14ac:dyDescent="0.25">
      <c r="A149" t="s">
        <v>176</v>
      </c>
      <c r="B149" s="117">
        <f>34580+16547</f>
        <v>51127</v>
      </c>
      <c r="C149" s="72"/>
    </row>
    <row r="150" spans="1:3" x14ac:dyDescent="0.25">
      <c r="A150" s="71" t="s">
        <v>82</v>
      </c>
      <c r="B150" s="118"/>
      <c r="C150" s="73">
        <f>B149</f>
        <v>51127</v>
      </c>
    </row>
    <row r="151" spans="1:3" x14ac:dyDescent="0.25">
      <c r="A151" s="71"/>
      <c r="B151" s="119"/>
      <c r="C151" s="81"/>
    </row>
    <row r="152" spans="1:3" x14ac:dyDescent="0.25">
      <c r="A152" t="s">
        <v>177</v>
      </c>
      <c r="B152" s="117">
        <f>321420+323760</f>
        <v>645180</v>
      </c>
      <c r="C152" s="122" t="s">
        <v>92</v>
      </c>
    </row>
    <row r="153" spans="1:3" x14ac:dyDescent="0.25">
      <c r="A153" s="71" t="s">
        <v>178</v>
      </c>
      <c r="B153" s="73"/>
      <c r="C153" s="73">
        <f>B152</f>
        <v>645180</v>
      </c>
    </row>
    <row r="154" spans="1:3" x14ac:dyDescent="0.25">
      <c r="A154" s="108" t="s">
        <v>157</v>
      </c>
    </row>
  </sheetData>
  <mergeCells count="1">
    <mergeCell ref="B5:H5"/>
  </mergeCells>
  <printOptions horizontalCentered="1"/>
  <pageMargins left="0.5" right="0.5" top="0.5" bottom="0.5" header="0.3" footer="0.3"/>
  <pageSetup scale="86" fitToHeight="0" orientation="landscape" r:id="rId1"/>
  <headerFooter>
    <oddFooter>&amp;L&amp;8&amp;D&amp;C&amp;8&amp;P&amp;R&amp;8&amp;A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CAC7-C105-437B-A563-68EABD1C490D}">
  <sheetPr>
    <tabColor theme="9"/>
    <pageSetUpPr fitToPage="1"/>
  </sheetPr>
  <dimension ref="A1:N49"/>
  <sheetViews>
    <sheetView workbookViewId="0">
      <selection activeCell="N12" sqref="N12"/>
    </sheetView>
  </sheetViews>
  <sheetFormatPr defaultColWidth="8.85546875" defaultRowHeight="15" x14ac:dyDescent="0.25"/>
  <cols>
    <col min="1" max="1" width="23.5703125" style="2" customWidth="1"/>
    <col min="2" max="2" width="14.7109375" style="1" customWidth="1"/>
    <col min="3" max="3" width="11.7109375" style="1" customWidth="1"/>
    <col min="4" max="4" width="12.42578125" style="1" customWidth="1"/>
    <col min="5" max="5" width="15.42578125" style="1" customWidth="1"/>
    <col min="6" max="6" width="13.85546875" style="1" customWidth="1"/>
    <col min="7" max="7" width="12.85546875" style="1" customWidth="1"/>
    <col min="8" max="8" width="14.85546875" style="1" customWidth="1"/>
    <col min="9" max="9" width="13.42578125" style="1" customWidth="1"/>
    <col min="10" max="10" width="12.7109375" style="1" customWidth="1"/>
    <col min="11" max="11" width="14.42578125" style="1" customWidth="1"/>
    <col min="12" max="12" width="14.5703125" style="1" customWidth="1"/>
    <col min="13" max="13" width="14.85546875" style="2" customWidth="1"/>
    <col min="14" max="14" width="11" style="2" bestFit="1" customWidth="1"/>
    <col min="15" max="17" width="15.85546875" style="2" customWidth="1"/>
    <col min="18" max="18" width="13.85546875" style="2" customWidth="1"/>
    <col min="19" max="16384" width="8.85546875" style="2"/>
  </cols>
  <sheetData>
    <row r="1" spans="1:14" ht="25.9" customHeight="1" x14ac:dyDescent="0.4">
      <c r="A1" s="3"/>
      <c r="I1" s="26"/>
      <c r="J1" s="26"/>
      <c r="K1" s="26"/>
      <c r="L1" s="26"/>
      <c r="N1" s="27"/>
    </row>
    <row r="2" spans="1:14" ht="25.9" customHeight="1" x14ac:dyDescent="0.3">
      <c r="A2" s="3"/>
      <c r="I2" s="6"/>
      <c r="J2" s="6"/>
      <c r="K2" s="6"/>
      <c r="L2" s="6"/>
      <c r="M2" s="28"/>
      <c r="N2" s="28"/>
    </row>
    <row r="3" spans="1:14" ht="18.75" customHeight="1" x14ac:dyDescent="0.3">
      <c r="A3" s="3" t="s">
        <v>179</v>
      </c>
      <c r="K3" s="6"/>
      <c r="M3" s="6" t="str">
        <f>+'Attachment A - Base'!I3</f>
        <v>BPA #25-01</v>
      </c>
      <c r="N3" s="28"/>
    </row>
    <row r="4" spans="1:14" ht="20.100000000000001" customHeight="1" x14ac:dyDescent="0.3">
      <c r="A4" s="17">
        <f>+'Attachment A - Base'!A4</f>
        <v>45881</v>
      </c>
      <c r="M4" s="29"/>
      <c r="N4" s="29"/>
    </row>
    <row r="5" spans="1:14" x14ac:dyDescent="0.25">
      <c r="B5" s="163" t="s">
        <v>2</v>
      </c>
      <c r="C5" s="164"/>
      <c r="D5" s="164"/>
      <c r="E5" s="164"/>
      <c r="F5" s="164"/>
      <c r="G5" s="164"/>
      <c r="H5" s="165"/>
      <c r="I5" s="160" t="s">
        <v>3</v>
      </c>
      <c r="J5" s="161"/>
      <c r="K5" s="162"/>
      <c r="L5" s="47" t="s">
        <v>4</v>
      </c>
      <c r="M5" s="47" t="s">
        <v>5</v>
      </c>
    </row>
    <row r="6" spans="1:14" x14ac:dyDescent="0.25">
      <c r="B6" s="166" t="s">
        <v>6</v>
      </c>
      <c r="C6" s="167"/>
      <c r="D6" s="167"/>
      <c r="E6" s="167"/>
      <c r="F6" s="167"/>
      <c r="G6" s="167"/>
      <c r="H6" s="170"/>
      <c r="I6" s="171" t="s">
        <v>6</v>
      </c>
      <c r="J6" s="172"/>
      <c r="K6" s="173"/>
      <c r="L6" s="48" t="s">
        <v>6</v>
      </c>
      <c r="M6" s="48" t="s">
        <v>7</v>
      </c>
    </row>
    <row r="7" spans="1:14" x14ac:dyDescent="0.25">
      <c r="B7" s="1">
        <v>-1</v>
      </c>
      <c r="C7" s="1">
        <v>-2</v>
      </c>
      <c r="D7" s="1">
        <v>-3</v>
      </c>
      <c r="E7" s="30"/>
      <c r="F7" s="36">
        <v>-4</v>
      </c>
      <c r="G7" s="36">
        <v>-5</v>
      </c>
      <c r="H7" s="30"/>
      <c r="I7" s="56">
        <v>-6</v>
      </c>
      <c r="J7" s="1">
        <v>-7</v>
      </c>
      <c r="K7" s="49"/>
      <c r="L7" s="57" t="s">
        <v>180</v>
      </c>
      <c r="M7" s="37"/>
    </row>
    <row r="8" spans="1:14" ht="75.75" thickBot="1" x14ac:dyDescent="0.3">
      <c r="A8" s="4"/>
      <c r="B8" s="5" t="s">
        <v>181</v>
      </c>
      <c r="C8" s="5" t="s">
        <v>182</v>
      </c>
      <c r="D8" s="5" t="s">
        <v>183</v>
      </c>
      <c r="E8" s="31" t="s">
        <v>184</v>
      </c>
      <c r="F8" s="5" t="s">
        <v>185</v>
      </c>
      <c r="G8" s="5" t="s">
        <v>186</v>
      </c>
      <c r="H8" s="31" t="s">
        <v>187</v>
      </c>
      <c r="I8" s="50" t="s">
        <v>181</v>
      </c>
      <c r="J8" s="44" t="s">
        <v>188</v>
      </c>
      <c r="K8" s="51" t="s">
        <v>189</v>
      </c>
      <c r="L8" s="41" t="s">
        <v>189</v>
      </c>
      <c r="M8" s="41" t="s">
        <v>7</v>
      </c>
    </row>
    <row r="9" spans="1:14" ht="19.149999999999999" customHeight="1" x14ac:dyDescent="0.25">
      <c r="A9" s="14"/>
      <c r="B9" s="14"/>
      <c r="C9" s="14"/>
      <c r="D9" s="14"/>
      <c r="E9" s="84"/>
      <c r="F9" s="14"/>
      <c r="G9" s="14"/>
      <c r="H9" s="42"/>
      <c r="I9" s="32" t="s">
        <v>190</v>
      </c>
      <c r="J9" s="128"/>
      <c r="K9" s="38"/>
      <c r="L9" s="38" t="s">
        <v>191</v>
      </c>
      <c r="M9" s="38"/>
    </row>
    <row r="10" spans="1:14" ht="17.45" customHeight="1" x14ac:dyDescent="0.25">
      <c r="A10" s="25" t="s">
        <v>17</v>
      </c>
      <c r="B10" s="7">
        <v>862049</v>
      </c>
      <c r="C10" s="7">
        <v>-1307</v>
      </c>
      <c r="D10" s="7">
        <v>1649259</v>
      </c>
      <c r="E10" s="85">
        <f>SUM(B10:D10)</f>
        <v>2510001</v>
      </c>
      <c r="F10" s="7">
        <v>130000</v>
      </c>
      <c r="G10" s="7">
        <v>52284</v>
      </c>
      <c r="H10" s="43">
        <f>SUM(E10:G10)</f>
        <v>2692285</v>
      </c>
      <c r="I10" s="7">
        <f>+'Attachment E - Desig One-Time'!H9</f>
        <v>123237</v>
      </c>
      <c r="J10" s="7">
        <v>1307</v>
      </c>
      <c r="K10" s="52">
        <f>SUM(I10:J10)</f>
        <v>124544</v>
      </c>
      <c r="L10" s="52">
        <f>+'Attachment F - Fees One-Time'!J9</f>
        <v>0</v>
      </c>
      <c r="M10" s="52">
        <f t="shared" ref="M10:M15" si="0">+H10+K10+L10</f>
        <v>2816829</v>
      </c>
      <c r="N10" s="33"/>
    </row>
    <row r="11" spans="1:14" ht="17.45" customHeight="1" x14ac:dyDescent="0.25">
      <c r="A11" s="25" t="s">
        <v>18</v>
      </c>
      <c r="B11" s="7">
        <v>1503795</v>
      </c>
      <c r="C11" s="7">
        <f>201024-23925</f>
        <v>177099</v>
      </c>
      <c r="D11" s="7">
        <f>5210603+1282231</f>
        <v>6492834</v>
      </c>
      <c r="E11" s="85">
        <f t="shared" ref="E11:E18" si="1">SUM(B11:D11)</f>
        <v>8173728</v>
      </c>
      <c r="F11" s="7">
        <f>1468500+201024+265048</f>
        <v>1934572</v>
      </c>
      <c r="G11" s="7">
        <v>317964</v>
      </c>
      <c r="H11" s="43">
        <f t="shared" ref="H11:H18" si="2">SUM(E11:G11)</f>
        <v>10426264</v>
      </c>
      <c r="I11" s="7">
        <f>+'Attachment E - Desig One-Time'!H10</f>
        <v>4206635</v>
      </c>
      <c r="J11" s="7">
        <v>-556</v>
      </c>
      <c r="K11" s="52">
        <f t="shared" ref="K11:K18" si="3">SUM(I11:J11)</f>
        <v>4206079</v>
      </c>
      <c r="L11" s="52">
        <f>+'Attachment F - Fees One-Time'!J10</f>
        <v>3427163</v>
      </c>
      <c r="M11" s="52">
        <f t="shared" si="0"/>
        <v>18059506</v>
      </c>
      <c r="N11" s="33"/>
    </row>
    <row r="12" spans="1:14" ht="17.45" customHeight="1" x14ac:dyDescent="0.25">
      <c r="A12" s="25" t="s">
        <v>19</v>
      </c>
      <c r="B12" s="7">
        <v>10208534</v>
      </c>
      <c r="C12" s="7"/>
      <c r="D12" s="7">
        <v>296653</v>
      </c>
      <c r="E12" s="85">
        <f t="shared" si="1"/>
        <v>10505187</v>
      </c>
      <c r="F12" s="7">
        <v>285995</v>
      </c>
      <c r="G12" s="7">
        <v>130740</v>
      </c>
      <c r="H12" s="43">
        <f t="shared" si="2"/>
        <v>10921922</v>
      </c>
      <c r="I12" s="7">
        <f>+'Attachment E - Desig One-Time'!H11</f>
        <v>761004</v>
      </c>
      <c r="J12" s="7">
        <f>556+6</f>
        <v>562</v>
      </c>
      <c r="K12" s="52">
        <f t="shared" si="3"/>
        <v>761566</v>
      </c>
      <c r="L12" s="52">
        <f>+'Attachment F - Fees One-Time'!J11</f>
        <v>4950</v>
      </c>
      <c r="M12" s="52">
        <f t="shared" si="0"/>
        <v>11688438</v>
      </c>
      <c r="N12" s="33"/>
    </row>
    <row r="13" spans="1:14" ht="17.45" customHeight="1" x14ac:dyDescent="0.25">
      <c r="A13" s="25" t="s">
        <v>20</v>
      </c>
      <c r="B13" s="7">
        <v>999884</v>
      </c>
      <c r="C13" s="7"/>
      <c r="D13" s="7">
        <v>0</v>
      </c>
      <c r="E13" s="85">
        <f t="shared" si="1"/>
        <v>999884</v>
      </c>
      <c r="F13" s="7">
        <v>33000</v>
      </c>
      <c r="G13" s="7">
        <v>80484</v>
      </c>
      <c r="H13" s="43">
        <f t="shared" si="2"/>
        <v>1113368</v>
      </c>
      <c r="I13" s="7">
        <f>+'Attachment E - Desig One-Time'!H12</f>
        <v>0</v>
      </c>
      <c r="J13" s="7"/>
      <c r="K13" s="52">
        <f t="shared" si="3"/>
        <v>0</v>
      </c>
      <c r="L13" s="52">
        <f>+'Attachment F - Fees One-Time'!J12</f>
        <v>987911</v>
      </c>
      <c r="M13" s="52">
        <f t="shared" si="0"/>
        <v>2101279</v>
      </c>
      <c r="N13" s="33"/>
    </row>
    <row r="14" spans="1:14" ht="17.45" customHeight="1" x14ac:dyDescent="0.25">
      <c r="A14" s="25" t="s">
        <v>21</v>
      </c>
      <c r="B14" s="7">
        <v>2455666</v>
      </c>
      <c r="C14" s="7"/>
      <c r="D14" s="7">
        <v>402624</v>
      </c>
      <c r="E14" s="85">
        <f t="shared" si="1"/>
        <v>2858290</v>
      </c>
      <c r="F14" s="7"/>
      <c r="G14" s="7">
        <v>53856</v>
      </c>
      <c r="H14" s="43">
        <f t="shared" si="2"/>
        <v>2912146</v>
      </c>
      <c r="I14" s="7">
        <f>+'Attachment E - Desig One-Time'!H13</f>
        <v>3985351</v>
      </c>
      <c r="J14" s="7">
        <v>-6</v>
      </c>
      <c r="K14" s="52">
        <f t="shared" si="3"/>
        <v>3985345</v>
      </c>
      <c r="L14" s="52">
        <f>+'Attachment F - Fees One-Time'!J13</f>
        <v>5543991</v>
      </c>
      <c r="M14" s="52">
        <f t="shared" si="0"/>
        <v>12441482</v>
      </c>
      <c r="N14" s="33"/>
    </row>
    <row r="15" spans="1:14" ht="17.45" customHeight="1" x14ac:dyDescent="0.25">
      <c r="A15" s="25" t="s">
        <v>22</v>
      </c>
      <c r="B15" s="7">
        <v>1698959</v>
      </c>
      <c r="C15" s="7">
        <v>364560</v>
      </c>
      <c r="D15" s="7">
        <v>188682</v>
      </c>
      <c r="E15" s="85">
        <f t="shared" si="1"/>
        <v>2252201</v>
      </c>
      <c r="F15" s="7"/>
      <c r="G15" s="7">
        <v>25308</v>
      </c>
      <c r="H15" s="43">
        <f t="shared" si="2"/>
        <v>2277509</v>
      </c>
      <c r="I15" s="7">
        <f>+'Attachment E - Desig One-Time'!H14</f>
        <v>817</v>
      </c>
      <c r="J15" s="7"/>
      <c r="K15" s="52">
        <f t="shared" si="3"/>
        <v>817</v>
      </c>
      <c r="L15" s="52">
        <f>+'Attachment F - Fees One-Time'!J14</f>
        <v>-364560</v>
      </c>
      <c r="M15" s="52">
        <f t="shared" si="0"/>
        <v>1913766</v>
      </c>
      <c r="N15" s="33"/>
    </row>
    <row r="16" spans="1:14" ht="17.45" customHeight="1" x14ac:dyDescent="0.25">
      <c r="A16" s="53" t="s">
        <v>23</v>
      </c>
      <c r="B16" s="8">
        <f t="shared" ref="B16:K16" si="4">SUM(B10:B15)</f>
        <v>17728887</v>
      </c>
      <c r="C16" s="8">
        <f t="shared" si="4"/>
        <v>540352</v>
      </c>
      <c r="D16" s="8">
        <f t="shared" ref="D16" si="5">SUM(D10:D15)</f>
        <v>9030052</v>
      </c>
      <c r="E16" s="86">
        <f>SUM(E10:E15)</f>
        <v>27299291</v>
      </c>
      <c r="F16" s="8">
        <f t="shared" si="4"/>
        <v>2383567</v>
      </c>
      <c r="G16" s="8">
        <f t="shared" ref="G16" si="6">SUM(G10:G15)</f>
        <v>660636</v>
      </c>
      <c r="H16" s="39">
        <f t="shared" si="4"/>
        <v>30343494</v>
      </c>
      <c r="I16" s="8">
        <f t="shared" si="4"/>
        <v>9077044</v>
      </c>
      <c r="J16" s="8">
        <f t="shared" ref="J16" si="7">SUM(J10:J15)</f>
        <v>1307</v>
      </c>
      <c r="K16" s="39">
        <f t="shared" si="4"/>
        <v>9078351</v>
      </c>
      <c r="L16" s="39">
        <f t="shared" ref="L16" si="8">SUM(L10:L15)</f>
        <v>9599455</v>
      </c>
      <c r="M16" s="39">
        <f>SUM(M10:M15)</f>
        <v>49021300</v>
      </c>
    </row>
    <row r="17" spans="1:14" ht="17.45" customHeight="1" x14ac:dyDescent="0.25">
      <c r="A17" s="25" t="s">
        <v>24</v>
      </c>
      <c r="B17" s="126">
        <v>423477</v>
      </c>
      <c r="C17" s="126">
        <v>23925</v>
      </c>
      <c r="D17" s="126"/>
      <c r="E17" s="85">
        <f t="shared" si="1"/>
        <v>447402</v>
      </c>
      <c r="F17" s="126"/>
      <c r="G17" s="126"/>
      <c r="H17" s="43">
        <f t="shared" si="2"/>
        <v>447402</v>
      </c>
      <c r="I17" s="7">
        <f>+'Attachment E - Desig One-Time'!H16</f>
        <v>0</v>
      </c>
      <c r="J17" s="126"/>
      <c r="K17" s="52">
        <f t="shared" si="3"/>
        <v>0</v>
      </c>
      <c r="L17" s="52">
        <f>+'Attachment F - Fees One-Time'!J16</f>
        <v>13399</v>
      </c>
      <c r="M17" s="52">
        <f>+H17+K17+L17</f>
        <v>460801</v>
      </c>
      <c r="N17" s="34"/>
    </row>
    <row r="18" spans="1:14" ht="17.45" customHeight="1" x14ac:dyDescent="0.25">
      <c r="A18" s="25" t="s">
        <v>25</v>
      </c>
      <c r="B18" s="7">
        <f>116482662-423477-1</f>
        <v>116059184</v>
      </c>
      <c r="C18" s="7">
        <f>-201024-364560</f>
        <v>-565584</v>
      </c>
      <c r="D18" s="7">
        <f>-7747821-1282231</f>
        <v>-9030052</v>
      </c>
      <c r="E18" s="85">
        <f t="shared" si="1"/>
        <v>106463548</v>
      </c>
      <c r="F18" s="7">
        <f>-2383567</f>
        <v>-2383567</v>
      </c>
      <c r="G18" s="7">
        <v>-660636</v>
      </c>
      <c r="H18" s="43">
        <f t="shared" si="2"/>
        <v>103419345</v>
      </c>
      <c r="I18" s="7">
        <f>+'Attachment E - Desig One-Time'!H17</f>
        <v>12464693</v>
      </c>
      <c r="J18" s="7"/>
      <c r="K18" s="52">
        <f t="shared" si="3"/>
        <v>12464693</v>
      </c>
      <c r="L18" s="52">
        <f>+'Attachment F - Fees One-Time'!J17</f>
        <v>683996</v>
      </c>
      <c r="M18" s="52">
        <f>+H18+K18+L18</f>
        <v>116568034</v>
      </c>
      <c r="N18" s="33"/>
    </row>
    <row r="19" spans="1:14" ht="18" customHeight="1" thickBot="1" x14ac:dyDescent="0.3">
      <c r="A19" s="55" t="s">
        <v>26</v>
      </c>
      <c r="B19" s="11">
        <f>SUM(B16:B18)</f>
        <v>134211548</v>
      </c>
      <c r="C19" s="11">
        <f>SUM(C16:C18)</f>
        <v>-1307</v>
      </c>
      <c r="D19" s="11">
        <f>SUM(D16:D18)</f>
        <v>0</v>
      </c>
      <c r="E19" s="87">
        <f>SUM(E16:E18)</f>
        <v>134210241</v>
      </c>
      <c r="F19" s="11">
        <f t="shared" ref="F19:M19" si="9">SUM(F16:F18)</f>
        <v>0</v>
      </c>
      <c r="G19" s="11">
        <f t="shared" ref="G19" si="10">SUM(G16:G18)</f>
        <v>0</v>
      </c>
      <c r="H19" s="40">
        <f t="shared" si="9"/>
        <v>134210241</v>
      </c>
      <c r="I19" s="11">
        <f t="shared" si="9"/>
        <v>21541737</v>
      </c>
      <c r="J19" s="11">
        <f t="shared" ref="J19" si="11">SUM(J16:J18)</f>
        <v>1307</v>
      </c>
      <c r="K19" s="40">
        <f t="shared" si="9"/>
        <v>21543044</v>
      </c>
      <c r="L19" s="40">
        <f t="shared" si="9"/>
        <v>10296850</v>
      </c>
      <c r="M19" s="40">
        <f t="shared" si="9"/>
        <v>166050135</v>
      </c>
    </row>
    <row r="20" spans="1:14" x14ac:dyDescent="0.25">
      <c r="A20" s="35"/>
    </row>
    <row r="21" spans="1:14" x14ac:dyDescent="0.25">
      <c r="A21" s="2" t="s">
        <v>192</v>
      </c>
    </row>
    <row r="22" spans="1:14" x14ac:dyDescent="0.25">
      <c r="A22" s="2" t="s">
        <v>193</v>
      </c>
    </row>
    <row r="23" spans="1:14" x14ac:dyDescent="0.25">
      <c r="A23" s="96" t="s">
        <v>194</v>
      </c>
    </row>
    <row r="24" spans="1:14" x14ac:dyDescent="0.25">
      <c r="A24" s="96" t="s">
        <v>195</v>
      </c>
    </row>
    <row r="25" spans="1:14" x14ac:dyDescent="0.25">
      <c r="A25" s="96" t="s">
        <v>196</v>
      </c>
    </row>
    <row r="26" spans="1:14" x14ac:dyDescent="0.25">
      <c r="A26" s="96" t="s">
        <v>197</v>
      </c>
    </row>
    <row r="27" spans="1:14" x14ac:dyDescent="0.25">
      <c r="A27" s="96" t="s">
        <v>598</v>
      </c>
    </row>
    <row r="28" spans="1:14" x14ac:dyDescent="0.25">
      <c r="A28" s="96" t="s">
        <v>599</v>
      </c>
    </row>
    <row r="29" spans="1:14" x14ac:dyDescent="0.25">
      <c r="A29" s="2" t="s">
        <v>198</v>
      </c>
    </row>
    <row r="30" spans="1:14" x14ac:dyDescent="0.25">
      <c r="A30" s="2" t="s">
        <v>597</v>
      </c>
    </row>
    <row r="31" spans="1:14" x14ac:dyDescent="0.25">
      <c r="A31" s="2" t="s">
        <v>199</v>
      </c>
    </row>
    <row r="32" spans="1:14" x14ac:dyDescent="0.25">
      <c r="A32" s="2" t="s">
        <v>200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 t="s">
        <v>201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202</v>
      </c>
    </row>
    <row r="35" spans="1:12" x14ac:dyDescent="0.25">
      <c r="A35" s="2" t="s">
        <v>203</v>
      </c>
    </row>
    <row r="36" spans="1:12" x14ac:dyDescent="0.25">
      <c r="A36" s="2" t="s">
        <v>204</v>
      </c>
    </row>
    <row r="37" spans="1:12" x14ac:dyDescent="0.25">
      <c r="A37" s="2" t="s">
        <v>205</v>
      </c>
    </row>
    <row r="38" spans="1:12" x14ac:dyDescent="0.25">
      <c r="A38" s="2" t="s">
        <v>206</v>
      </c>
    </row>
    <row r="39" spans="1:12" x14ac:dyDescent="0.25">
      <c r="A39" s="2" t="s">
        <v>207</v>
      </c>
    </row>
    <row r="40" spans="1:12" x14ac:dyDescent="0.25">
      <c r="A40"/>
    </row>
    <row r="41" spans="1:12" x14ac:dyDescent="0.25">
      <c r="A41" s="77"/>
    </row>
    <row r="48" spans="1:12" ht="13.9" customHeight="1" x14ac:dyDescent="0.25"/>
    <row r="49" ht="13.9" customHeight="1" x14ac:dyDescent="0.25"/>
  </sheetData>
  <mergeCells count="4">
    <mergeCell ref="B5:H5"/>
    <mergeCell ref="I5:K5"/>
    <mergeCell ref="B6:H6"/>
    <mergeCell ref="I6:K6"/>
  </mergeCells>
  <printOptions horizontalCentered="1"/>
  <pageMargins left="0.5" right="0.5" top="0.5" bottom="0.5" header="0.3" footer="0.3"/>
  <pageSetup scale="67" orientation="landscape" r:id="rId1"/>
  <headerFooter>
    <oddFooter>&amp;L&amp;8&amp;D&amp;C&amp;8&amp;P&amp;R&amp;8&amp;A</oddFooter>
  </headerFooter>
  <ignoredErrors>
    <ignoredError sqref="E16 H16 M16 K16" formula="1"/>
    <ignoredError sqref="L7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2A2A-9B96-484F-AFBB-55D473C10BCA}">
  <sheetPr>
    <tabColor theme="9"/>
    <pageSetUpPr fitToPage="1"/>
  </sheetPr>
  <dimension ref="A1:K75"/>
  <sheetViews>
    <sheetView workbookViewId="0">
      <selection activeCell="N12" sqref="N12"/>
    </sheetView>
  </sheetViews>
  <sheetFormatPr defaultColWidth="8.85546875" defaultRowHeight="15" x14ac:dyDescent="0.25"/>
  <cols>
    <col min="1" max="1" width="25.7109375" style="2" customWidth="1"/>
    <col min="2" max="6" width="12.28515625" style="1" customWidth="1"/>
    <col min="7" max="9" width="13.85546875" style="1" customWidth="1"/>
    <col min="10" max="10" width="16.28515625" style="2" customWidth="1"/>
    <col min="11" max="20" width="14" style="2" customWidth="1"/>
    <col min="21" max="16384" width="8.85546875" style="2"/>
  </cols>
  <sheetData>
    <row r="1" spans="1:10" ht="25.9" customHeight="1" x14ac:dyDescent="0.4">
      <c r="A1" s="3"/>
      <c r="G1" s="26"/>
      <c r="H1" s="26"/>
      <c r="I1" s="26"/>
    </row>
    <row r="2" spans="1:10" ht="25.9" customHeight="1" x14ac:dyDescent="0.3">
      <c r="A2" s="3"/>
    </row>
    <row r="3" spans="1:10" ht="18.75" customHeight="1" x14ac:dyDescent="0.3">
      <c r="A3" s="3" t="s">
        <v>208</v>
      </c>
      <c r="I3" s="6" t="str">
        <f>+'Attachment A - Base'!I3</f>
        <v>BPA #25-01</v>
      </c>
    </row>
    <row r="4" spans="1:10" ht="20.100000000000001" customHeight="1" x14ac:dyDescent="0.25">
      <c r="A4" s="17">
        <f>+'Attachment A - Base'!A4</f>
        <v>45881</v>
      </c>
    </row>
    <row r="5" spans="1:10" x14ac:dyDescent="0.25">
      <c r="B5" s="174" t="s">
        <v>209</v>
      </c>
      <c r="C5" s="175"/>
      <c r="D5" s="175"/>
      <c r="E5" s="175"/>
      <c r="F5" s="175"/>
      <c r="G5" s="176"/>
      <c r="H5" s="2"/>
      <c r="I5" s="2"/>
    </row>
    <row r="6" spans="1:10" x14ac:dyDescent="0.25">
      <c r="B6" s="1">
        <v>-1</v>
      </c>
      <c r="C6" s="1">
        <v>-2</v>
      </c>
      <c r="D6" s="1">
        <v>-3</v>
      </c>
      <c r="E6" s="1">
        <v>-4</v>
      </c>
      <c r="F6" s="36" t="s">
        <v>210</v>
      </c>
      <c r="G6" s="1">
        <v>-6</v>
      </c>
      <c r="H6" s="19"/>
      <c r="I6" s="2"/>
    </row>
    <row r="7" spans="1:10" ht="45.75" thickBot="1" x14ac:dyDescent="0.3">
      <c r="A7" s="4"/>
      <c r="B7" s="5" t="s">
        <v>211</v>
      </c>
      <c r="C7" s="5" t="s">
        <v>212</v>
      </c>
      <c r="D7" s="5" t="s">
        <v>213</v>
      </c>
      <c r="E7" s="5" t="s">
        <v>214</v>
      </c>
      <c r="F7" s="5" t="s">
        <v>215</v>
      </c>
      <c r="G7" s="5" t="s">
        <v>216</v>
      </c>
      <c r="H7" s="20" t="s">
        <v>217</v>
      </c>
      <c r="I7" s="2"/>
    </row>
    <row r="8" spans="1:10" ht="19.149999999999999" customHeight="1" x14ac:dyDescent="0.25">
      <c r="A8" s="14"/>
      <c r="B8" s="16"/>
      <c r="C8" s="16"/>
      <c r="D8" s="16"/>
      <c r="E8" s="16"/>
      <c r="F8" s="16"/>
      <c r="G8" s="15"/>
      <c r="H8" s="21"/>
      <c r="I8" s="2"/>
    </row>
    <row r="9" spans="1:10" ht="19.149999999999999" customHeight="1" x14ac:dyDescent="0.25">
      <c r="A9" s="2" t="s">
        <v>17</v>
      </c>
      <c r="B9" s="78"/>
      <c r="C9" s="78"/>
      <c r="D9" s="78"/>
      <c r="E9" s="78">
        <f>SUM(B46,B48)</f>
        <v>124544</v>
      </c>
      <c r="F9" s="78"/>
      <c r="G9" s="78">
        <f>SUM(B34:B45,B47,B58:B61,B63:B71)</f>
        <v>-1307</v>
      </c>
      <c r="H9" s="22">
        <f>SUM(B9:G9)</f>
        <v>123237</v>
      </c>
      <c r="I9" s="2"/>
    </row>
    <row r="10" spans="1:10" ht="19.149999999999999" customHeight="1" x14ac:dyDescent="0.25">
      <c r="A10" s="2" t="s">
        <v>18</v>
      </c>
      <c r="B10" s="78">
        <f>C50</f>
        <v>404498</v>
      </c>
      <c r="C10" s="78">
        <f>SUM(C49,C51:C55)</f>
        <v>2523339</v>
      </c>
      <c r="D10" s="78">
        <f>SUM(C62)</f>
        <v>50122</v>
      </c>
      <c r="E10" s="78">
        <f>SUM(C46,C48)</f>
        <v>478445</v>
      </c>
      <c r="F10" s="78"/>
      <c r="G10" s="78">
        <f>SUM(C34:C45,C47,C58:C61,C63:C71)</f>
        <v>750231</v>
      </c>
      <c r="H10" s="22">
        <f t="shared" ref="H10:H14" si="0">SUM(B10:G10)</f>
        <v>4206635</v>
      </c>
      <c r="I10" s="2"/>
    </row>
    <row r="11" spans="1:10" ht="19.149999999999999" customHeight="1" x14ac:dyDescent="0.25">
      <c r="A11" s="2" t="s">
        <v>19</v>
      </c>
      <c r="B11" s="78"/>
      <c r="C11" s="78">
        <f>SUM(D49,D51:D55)</f>
        <v>11566</v>
      </c>
      <c r="D11" s="78"/>
      <c r="E11" s="78">
        <f>SUM(D46,D48)</f>
        <v>-556</v>
      </c>
      <c r="F11" s="78">
        <f>SUM(D56:D57)</f>
        <v>-6</v>
      </c>
      <c r="G11" s="78">
        <f>SUM(D34:D45,D47,D58:D61,D63:D71)</f>
        <v>750000</v>
      </c>
      <c r="H11" s="22">
        <f t="shared" si="0"/>
        <v>761004</v>
      </c>
      <c r="I11" s="2"/>
    </row>
    <row r="12" spans="1:10" ht="19.149999999999999" customHeight="1" x14ac:dyDescent="0.25">
      <c r="A12" s="2" t="s">
        <v>20</v>
      </c>
      <c r="B12" s="78"/>
      <c r="C12" s="78"/>
      <c r="D12" s="78"/>
      <c r="E12" s="78"/>
      <c r="F12" s="78"/>
      <c r="G12" s="78">
        <f>SUM(E34:E45,E47,E58:E61,E63:E71)</f>
        <v>0</v>
      </c>
      <c r="H12" s="22">
        <f t="shared" si="0"/>
        <v>0</v>
      </c>
      <c r="I12" s="2"/>
    </row>
    <row r="13" spans="1:10" ht="19.149999999999999" customHeight="1" x14ac:dyDescent="0.25">
      <c r="A13" s="2" t="s">
        <v>21</v>
      </c>
      <c r="B13" s="78"/>
      <c r="C13" s="78">
        <f>SUM(F49,F51:F55)</f>
        <v>4030065</v>
      </c>
      <c r="D13" s="78"/>
      <c r="E13" s="78">
        <f>SUM(F46,F48)</f>
        <v>-8517</v>
      </c>
      <c r="F13" s="78">
        <f>SUM(F56:F57)</f>
        <v>-548156</v>
      </c>
      <c r="G13" s="78">
        <f>SUM(F34:F45,F47,F58:F61,F63:F71)</f>
        <v>511959</v>
      </c>
      <c r="H13" s="22">
        <f t="shared" si="0"/>
        <v>3985351</v>
      </c>
      <c r="I13" s="2"/>
    </row>
    <row r="14" spans="1:10" ht="19.149999999999999" customHeight="1" x14ac:dyDescent="0.25">
      <c r="A14" s="2" t="s">
        <v>22</v>
      </c>
      <c r="B14" s="78"/>
      <c r="C14" s="78"/>
      <c r="D14" s="78"/>
      <c r="E14" s="78"/>
      <c r="F14" s="78"/>
      <c r="G14" s="78">
        <f>SUM(G34:G45,G47,G58:G61,G63:G71)</f>
        <v>817</v>
      </c>
      <c r="H14" s="22">
        <f t="shared" si="0"/>
        <v>817</v>
      </c>
      <c r="I14" s="2"/>
    </row>
    <row r="15" spans="1:10" ht="19.149999999999999" customHeight="1" x14ac:dyDescent="0.25">
      <c r="A15" s="9" t="s">
        <v>23</v>
      </c>
      <c r="B15" s="8">
        <f t="shared" ref="B15" si="1">SUM(B9:B14)</f>
        <v>404498</v>
      </c>
      <c r="C15" s="8">
        <f t="shared" ref="C15:G15" si="2">SUM(C9:C14)</f>
        <v>6564970</v>
      </c>
      <c r="D15" s="8">
        <f t="shared" si="2"/>
        <v>50122</v>
      </c>
      <c r="E15" s="8">
        <f t="shared" si="2"/>
        <v>593916</v>
      </c>
      <c r="F15" s="8">
        <f t="shared" si="2"/>
        <v>-548162</v>
      </c>
      <c r="G15" s="8">
        <f t="shared" si="2"/>
        <v>2011700</v>
      </c>
      <c r="H15" s="23">
        <f t="shared" ref="H15" si="3">SUM(H9:H14)</f>
        <v>9077044</v>
      </c>
      <c r="I15" s="2"/>
    </row>
    <row r="16" spans="1:10" ht="19.149999999999999" customHeight="1" x14ac:dyDescent="0.25">
      <c r="A16" s="2" t="s">
        <v>24</v>
      </c>
      <c r="B16" s="18"/>
      <c r="G16" s="7"/>
      <c r="H16" s="22">
        <f>SUM(B16:G16)</f>
        <v>0</v>
      </c>
      <c r="I16" s="2"/>
      <c r="J16" s="2" t="s">
        <v>218</v>
      </c>
    </row>
    <row r="17" spans="1:10" ht="19.149999999999999" customHeight="1" x14ac:dyDescent="0.25">
      <c r="A17" s="2" t="s">
        <v>25</v>
      </c>
      <c r="B17" s="7"/>
      <c r="C17" s="7"/>
      <c r="D17" s="7"/>
      <c r="E17" s="7"/>
      <c r="F17" s="7"/>
      <c r="G17" s="7">
        <f>H72-3</f>
        <v>12464693</v>
      </c>
      <c r="H17" s="22">
        <f>SUM(B17:G17)</f>
        <v>12464693</v>
      </c>
      <c r="I17" s="2"/>
    </row>
    <row r="18" spans="1:10" ht="15" customHeight="1" thickBot="1" x14ac:dyDescent="0.3">
      <c r="A18" s="10" t="s">
        <v>26</v>
      </c>
      <c r="B18" s="11">
        <f t="shared" ref="B18:H18" si="4">SUM(B15:B17)</f>
        <v>404498</v>
      </c>
      <c r="C18" s="11">
        <f t="shared" ref="C18:G18" si="5">SUM(C15:C17)</f>
        <v>6564970</v>
      </c>
      <c r="D18" s="11">
        <f t="shared" si="5"/>
        <v>50122</v>
      </c>
      <c r="E18" s="11">
        <f t="shared" si="5"/>
        <v>593916</v>
      </c>
      <c r="F18" s="11">
        <f t="shared" si="5"/>
        <v>-548162</v>
      </c>
      <c r="G18" s="11">
        <f t="shared" si="5"/>
        <v>14476393</v>
      </c>
      <c r="H18" s="24">
        <f t="shared" si="4"/>
        <v>21541737</v>
      </c>
      <c r="I18" s="2"/>
    </row>
    <row r="19" spans="1:10" ht="15" customHeight="1" x14ac:dyDescent="0.25">
      <c r="A19" s="12"/>
      <c r="B19" s="12"/>
      <c r="C19" s="13"/>
      <c r="D19" s="13"/>
      <c r="E19" s="13"/>
      <c r="F19" s="13"/>
      <c r="G19" s="89"/>
      <c r="H19" s="13"/>
      <c r="I19" s="13"/>
    </row>
    <row r="20" spans="1:10" ht="15" customHeight="1" x14ac:dyDescent="0.25">
      <c r="A20" s="2" t="s">
        <v>219</v>
      </c>
      <c r="B20" s="12"/>
      <c r="C20" s="13"/>
      <c r="D20" s="13"/>
      <c r="E20" s="13"/>
      <c r="F20" s="13"/>
      <c r="G20" s="13"/>
      <c r="H20" s="13"/>
      <c r="I20" s="13"/>
    </row>
    <row r="21" spans="1:10" ht="13.9" customHeight="1" x14ac:dyDescent="0.25">
      <c r="A21" s="2" t="s">
        <v>220</v>
      </c>
    </row>
    <row r="22" spans="1:10" x14ac:dyDescent="0.25">
      <c r="A22" s="2" t="s">
        <v>221</v>
      </c>
    </row>
    <row r="23" spans="1:10" x14ac:dyDescent="0.25">
      <c r="A23" s="2" t="s">
        <v>222</v>
      </c>
    </row>
    <row r="24" spans="1:10" x14ac:dyDescent="0.25">
      <c r="A24" s="2" t="s">
        <v>223</v>
      </c>
    </row>
    <row r="25" spans="1:10" x14ac:dyDescent="0.25">
      <c r="A25" s="2" t="s">
        <v>224</v>
      </c>
    </row>
    <row r="26" spans="1:10" x14ac:dyDescent="0.25">
      <c r="A26" s="2" t="s">
        <v>225</v>
      </c>
    </row>
    <row r="27" spans="1:10" x14ac:dyDescent="0.25">
      <c r="A27" s="2" t="s">
        <v>226</v>
      </c>
    </row>
    <row r="28" spans="1:10" x14ac:dyDescent="0.25">
      <c r="A28" s="2" t="s">
        <v>227</v>
      </c>
    </row>
    <row r="29" spans="1:10" ht="13.9" customHeight="1" x14ac:dyDescent="0.25"/>
    <row r="30" spans="1:10" x14ac:dyDescent="0.25">
      <c r="A30" s="2" t="s">
        <v>228</v>
      </c>
    </row>
    <row r="31" spans="1:10" x14ac:dyDescent="0.25">
      <c r="J31" s="1"/>
    </row>
    <row r="32" spans="1:10" x14ac:dyDescent="0.25">
      <c r="A32" s="62" t="s">
        <v>38</v>
      </c>
      <c r="B32" s="63" t="s">
        <v>39</v>
      </c>
      <c r="C32" s="63" t="s">
        <v>40</v>
      </c>
      <c r="D32" s="63" t="s">
        <v>229</v>
      </c>
      <c r="E32" s="63" t="s">
        <v>20</v>
      </c>
      <c r="F32" s="63" t="s">
        <v>41</v>
      </c>
      <c r="G32" s="63" t="s">
        <v>230</v>
      </c>
      <c r="H32" s="63" t="s">
        <v>230</v>
      </c>
      <c r="I32" s="63" t="s">
        <v>42</v>
      </c>
      <c r="J32" s="63" t="s">
        <v>231</v>
      </c>
    </row>
    <row r="33" spans="1:11" x14ac:dyDescent="0.25">
      <c r="A33" s="64"/>
      <c r="B33" s="65" t="s">
        <v>43</v>
      </c>
      <c r="C33" s="65" t="s">
        <v>44</v>
      </c>
      <c r="D33" s="65" t="s">
        <v>44</v>
      </c>
      <c r="E33" s="65"/>
      <c r="F33" s="65" t="s">
        <v>44</v>
      </c>
      <c r="G33" s="65" t="s">
        <v>232</v>
      </c>
      <c r="H33" s="65"/>
      <c r="I33" s="65"/>
      <c r="J33" s="65"/>
    </row>
    <row r="34" spans="1:11" x14ac:dyDescent="0.25">
      <c r="A34" s="33" t="s">
        <v>233</v>
      </c>
      <c r="B34" s="33">
        <v>0</v>
      </c>
      <c r="C34" s="33">
        <v>18934</v>
      </c>
      <c r="D34" s="33">
        <v>0</v>
      </c>
      <c r="E34" s="33">
        <v>0</v>
      </c>
      <c r="F34" s="33">
        <v>0</v>
      </c>
      <c r="G34" s="33">
        <v>0</v>
      </c>
      <c r="H34" s="33">
        <v>6867</v>
      </c>
      <c r="I34" s="18">
        <f>SUM(B34:H34)</f>
        <v>25801</v>
      </c>
      <c r="J34" s="2" t="s">
        <v>234</v>
      </c>
    </row>
    <row r="35" spans="1:11" x14ac:dyDescent="0.25">
      <c r="A35" s="33" t="s">
        <v>235</v>
      </c>
      <c r="B35" s="33">
        <v>0</v>
      </c>
      <c r="C35" s="33">
        <v>4497</v>
      </c>
      <c r="D35" s="33">
        <v>0</v>
      </c>
      <c r="E35" s="33">
        <v>0</v>
      </c>
      <c r="F35" s="33">
        <v>0</v>
      </c>
      <c r="G35" s="33">
        <v>0</v>
      </c>
      <c r="H35" s="33">
        <v>-22866</v>
      </c>
      <c r="I35" s="18">
        <f>SUM(B35:H35)</f>
        <v>-18369</v>
      </c>
      <c r="J35" s="2" t="s">
        <v>234</v>
      </c>
    </row>
    <row r="36" spans="1:11" x14ac:dyDescent="0.25">
      <c r="A36" s="33" t="s">
        <v>236</v>
      </c>
      <c r="B36" s="33">
        <v>0</v>
      </c>
      <c r="C36" s="33">
        <v>0</v>
      </c>
      <c r="D36" s="33">
        <v>0</v>
      </c>
      <c r="E36" s="33">
        <v>0</v>
      </c>
      <c r="F36" s="33">
        <v>98</v>
      </c>
      <c r="G36" s="33">
        <v>0</v>
      </c>
      <c r="H36" s="33">
        <v>0</v>
      </c>
      <c r="I36" s="18">
        <f t="shared" ref="I36:I38" si="6">SUM(B36:H36)</f>
        <v>98</v>
      </c>
      <c r="J36" s="2" t="s">
        <v>234</v>
      </c>
    </row>
    <row r="37" spans="1:11" x14ac:dyDescent="0.25">
      <c r="A37" s="33" t="s">
        <v>237</v>
      </c>
      <c r="B37" s="33">
        <v>-1307</v>
      </c>
      <c r="C37" s="33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18">
        <f t="shared" si="6"/>
        <v>-1307</v>
      </c>
      <c r="J37" s="2" t="s">
        <v>234</v>
      </c>
    </row>
    <row r="38" spans="1:11" x14ac:dyDescent="0.25">
      <c r="A38" s="33" t="s">
        <v>238</v>
      </c>
      <c r="B38" s="33">
        <v>0</v>
      </c>
      <c r="C38" s="33">
        <v>0</v>
      </c>
      <c r="D38" s="33">
        <v>750000</v>
      </c>
      <c r="E38" s="33">
        <v>0</v>
      </c>
      <c r="F38" s="33">
        <v>0</v>
      </c>
      <c r="G38" s="33">
        <v>0</v>
      </c>
      <c r="H38" s="33">
        <v>0</v>
      </c>
      <c r="I38" s="18">
        <f t="shared" si="6"/>
        <v>750000</v>
      </c>
      <c r="J38" s="2" t="s">
        <v>234</v>
      </c>
    </row>
    <row r="39" spans="1:11" x14ac:dyDescent="0.25">
      <c r="A39" s="33" t="s">
        <v>45</v>
      </c>
      <c r="B39" s="33">
        <v>0</v>
      </c>
      <c r="C39" s="33">
        <v>408042</v>
      </c>
      <c r="D39" s="33">
        <v>0</v>
      </c>
      <c r="E39" s="33">
        <v>0</v>
      </c>
      <c r="F39" s="33">
        <v>0</v>
      </c>
      <c r="G39" s="33">
        <v>0</v>
      </c>
      <c r="H39" s="33">
        <v>351198</v>
      </c>
      <c r="I39" s="18">
        <f t="shared" ref="I39:I66" si="7">SUM(B39:H39)</f>
        <v>759240</v>
      </c>
      <c r="J39" s="2" t="s">
        <v>234</v>
      </c>
    </row>
    <row r="40" spans="1:11" x14ac:dyDescent="0.25">
      <c r="A40" s="33" t="s">
        <v>239</v>
      </c>
      <c r="B40" s="33">
        <v>0</v>
      </c>
      <c r="C40" s="33">
        <v>0</v>
      </c>
      <c r="D40" s="33">
        <v>0</v>
      </c>
      <c r="E40" s="33">
        <v>0</v>
      </c>
      <c r="F40" s="33">
        <v>-11234</v>
      </c>
      <c r="G40" s="33">
        <v>0</v>
      </c>
      <c r="H40" s="33">
        <v>-27157</v>
      </c>
      <c r="I40" s="18">
        <f t="shared" si="7"/>
        <v>-38391</v>
      </c>
      <c r="J40" s="2" t="s">
        <v>234</v>
      </c>
    </row>
    <row r="41" spans="1:11" x14ac:dyDescent="0.25">
      <c r="A41" s="33" t="s">
        <v>240</v>
      </c>
      <c r="B41" s="33">
        <v>0</v>
      </c>
      <c r="C41" s="33">
        <v>18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18">
        <f t="shared" si="7"/>
        <v>18</v>
      </c>
      <c r="J41" s="2" t="s">
        <v>234</v>
      </c>
    </row>
    <row r="42" spans="1:11" x14ac:dyDescent="0.25">
      <c r="A42" s="33" t="s">
        <v>46</v>
      </c>
      <c r="B42" s="33">
        <v>0</v>
      </c>
      <c r="C42" s="33">
        <v>0</v>
      </c>
      <c r="D42" s="33">
        <v>0</v>
      </c>
      <c r="E42" s="33">
        <v>0</v>
      </c>
      <c r="F42" s="33">
        <v>-169149</v>
      </c>
      <c r="G42" s="33">
        <v>0</v>
      </c>
      <c r="H42" s="33">
        <v>-156107</v>
      </c>
      <c r="I42" s="18">
        <f t="shared" si="7"/>
        <v>-325256</v>
      </c>
      <c r="J42" s="2" t="s">
        <v>234</v>
      </c>
    </row>
    <row r="43" spans="1:11" x14ac:dyDescent="0.25">
      <c r="A43" s="33" t="s">
        <v>241</v>
      </c>
      <c r="B43" s="33">
        <v>0</v>
      </c>
      <c r="C43" s="33">
        <v>5751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18">
        <f t="shared" si="7"/>
        <v>5751</v>
      </c>
      <c r="J43" s="2" t="s">
        <v>234</v>
      </c>
    </row>
    <row r="44" spans="1:11" x14ac:dyDescent="0.25">
      <c r="A44" s="33" t="s">
        <v>242</v>
      </c>
      <c r="B44" s="33">
        <v>0</v>
      </c>
      <c r="C44" s="33">
        <v>55763</v>
      </c>
      <c r="D44" s="33">
        <v>0</v>
      </c>
      <c r="E44" s="33">
        <v>0</v>
      </c>
      <c r="F44" s="33">
        <v>0</v>
      </c>
      <c r="G44" s="33">
        <v>0</v>
      </c>
      <c r="H44" s="33">
        <v>-90215</v>
      </c>
      <c r="I44" s="18">
        <f t="shared" si="7"/>
        <v>-34452</v>
      </c>
      <c r="J44" s="2" t="s">
        <v>234</v>
      </c>
    </row>
    <row r="45" spans="1:11" x14ac:dyDescent="0.25">
      <c r="A45" s="33" t="s">
        <v>243</v>
      </c>
      <c r="B45" s="33">
        <v>0</v>
      </c>
      <c r="C45" s="33">
        <v>2277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18">
        <f t="shared" si="7"/>
        <v>2277</v>
      </c>
      <c r="J45" s="2" t="s">
        <v>234</v>
      </c>
    </row>
    <row r="46" spans="1:11" x14ac:dyDescent="0.25">
      <c r="A46" s="33" t="s">
        <v>47</v>
      </c>
      <c r="B46" s="33">
        <v>17042</v>
      </c>
      <c r="C46" s="33">
        <v>7729</v>
      </c>
      <c r="D46" s="33">
        <v>-556</v>
      </c>
      <c r="E46" s="33">
        <v>0</v>
      </c>
      <c r="F46" s="33">
        <v>0</v>
      </c>
      <c r="G46" s="33">
        <v>0</v>
      </c>
      <c r="H46" s="33">
        <v>-13309</v>
      </c>
      <c r="I46" s="18">
        <f t="shared" si="7"/>
        <v>10906</v>
      </c>
      <c r="J46" s="2" t="s">
        <v>234</v>
      </c>
      <c r="K46" s="2" t="s">
        <v>244</v>
      </c>
    </row>
    <row r="47" spans="1:11" x14ac:dyDescent="0.25">
      <c r="A47" s="33" t="s">
        <v>245</v>
      </c>
      <c r="B47" s="33">
        <v>0</v>
      </c>
      <c r="C47" s="33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18">
        <f t="shared" si="7"/>
        <v>0</v>
      </c>
      <c r="J47" s="2" t="s">
        <v>234</v>
      </c>
    </row>
    <row r="48" spans="1:11" x14ac:dyDescent="0.25">
      <c r="A48" s="33" t="s">
        <v>48</v>
      </c>
      <c r="B48" s="33">
        <v>107502</v>
      </c>
      <c r="C48" s="33">
        <v>470716</v>
      </c>
      <c r="D48" s="33">
        <v>0</v>
      </c>
      <c r="E48" s="33">
        <v>0</v>
      </c>
      <c r="F48" s="33">
        <v>-8517</v>
      </c>
      <c r="G48" s="33">
        <v>0</v>
      </c>
      <c r="H48" s="33">
        <v>-55495</v>
      </c>
      <c r="I48" s="18">
        <f t="shared" si="7"/>
        <v>514206</v>
      </c>
      <c r="J48" s="2" t="s">
        <v>214</v>
      </c>
      <c r="K48" s="2" t="s">
        <v>244</v>
      </c>
    </row>
    <row r="49" spans="1:11" x14ac:dyDescent="0.25">
      <c r="A49" s="33" t="s">
        <v>246</v>
      </c>
      <c r="B49" s="33">
        <v>0</v>
      </c>
      <c r="C49" s="33">
        <v>16372</v>
      </c>
      <c r="D49" s="33">
        <v>11566</v>
      </c>
      <c r="E49" s="33">
        <v>-3</v>
      </c>
      <c r="F49" s="33">
        <v>4027315</v>
      </c>
      <c r="G49" s="33">
        <v>0</v>
      </c>
      <c r="H49" s="33">
        <v>2968116</v>
      </c>
      <c r="I49" s="18">
        <f t="shared" si="7"/>
        <v>7023366</v>
      </c>
      <c r="J49" s="2" t="s">
        <v>247</v>
      </c>
      <c r="K49" s="2" t="s">
        <v>248</v>
      </c>
    </row>
    <row r="50" spans="1:11" x14ac:dyDescent="0.25">
      <c r="A50" s="33" t="s">
        <v>249</v>
      </c>
      <c r="B50" s="33">
        <v>0</v>
      </c>
      <c r="C50" s="33">
        <v>404498</v>
      </c>
      <c r="D50" s="33">
        <v>0</v>
      </c>
      <c r="E50" s="33">
        <v>0</v>
      </c>
      <c r="F50" s="33">
        <v>0</v>
      </c>
      <c r="G50" s="33">
        <v>0</v>
      </c>
      <c r="H50" s="33">
        <v>145030</v>
      </c>
      <c r="I50" s="18">
        <f t="shared" si="7"/>
        <v>549528</v>
      </c>
      <c r="J50" s="2" t="s">
        <v>250</v>
      </c>
    </row>
    <row r="51" spans="1:11" x14ac:dyDescent="0.25">
      <c r="A51" s="33" t="s">
        <v>251</v>
      </c>
      <c r="B51" s="33">
        <v>0</v>
      </c>
      <c r="C51" s="33">
        <v>1149448</v>
      </c>
      <c r="D51" s="33">
        <v>0</v>
      </c>
      <c r="E51" s="33">
        <v>0</v>
      </c>
      <c r="F51" s="33">
        <v>0</v>
      </c>
      <c r="G51" s="33">
        <v>0</v>
      </c>
      <c r="H51" s="33">
        <v>91967</v>
      </c>
      <c r="I51" s="18">
        <f t="shared" si="7"/>
        <v>1241415</v>
      </c>
      <c r="J51" s="2" t="s">
        <v>247</v>
      </c>
      <c r="K51" s="2" t="s">
        <v>248</v>
      </c>
    </row>
    <row r="52" spans="1:11" x14ac:dyDescent="0.25">
      <c r="A52" s="33" t="s">
        <v>252</v>
      </c>
      <c r="B52" s="33">
        <v>0</v>
      </c>
      <c r="C52" s="33">
        <v>563527</v>
      </c>
      <c r="D52" s="33">
        <v>0</v>
      </c>
      <c r="E52" s="33">
        <v>0</v>
      </c>
      <c r="F52" s="33">
        <v>0</v>
      </c>
      <c r="G52" s="33">
        <v>0</v>
      </c>
      <c r="H52" s="33">
        <v>1199580</v>
      </c>
      <c r="I52" s="18">
        <f t="shared" si="7"/>
        <v>1763107</v>
      </c>
      <c r="J52" s="2" t="s">
        <v>247</v>
      </c>
      <c r="K52" s="2" t="s">
        <v>248</v>
      </c>
    </row>
    <row r="53" spans="1:11" x14ac:dyDescent="0.25">
      <c r="A53" s="33" t="s">
        <v>253</v>
      </c>
      <c r="B53" s="33">
        <v>0</v>
      </c>
      <c r="C53" s="33">
        <v>97814</v>
      </c>
      <c r="D53" s="33">
        <v>0</v>
      </c>
      <c r="E53" s="33">
        <v>0</v>
      </c>
      <c r="F53" s="33">
        <v>0</v>
      </c>
      <c r="G53" s="33">
        <v>0</v>
      </c>
      <c r="H53" s="33">
        <v>12670</v>
      </c>
      <c r="I53" s="18">
        <f t="shared" si="7"/>
        <v>110484</v>
      </c>
      <c r="J53" s="2" t="s">
        <v>247</v>
      </c>
      <c r="K53" s="2" t="s">
        <v>248</v>
      </c>
    </row>
    <row r="54" spans="1:11" x14ac:dyDescent="0.25">
      <c r="A54" s="33" t="s">
        <v>254</v>
      </c>
      <c r="B54" s="33">
        <v>0</v>
      </c>
      <c r="C54" s="33">
        <v>51363</v>
      </c>
      <c r="D54" s="33">
        <v>0</v>
      </c>
      <c r="E54" s="33">
        <v>0</v>
      </c>
      <c r="F54" s="33">
        <v>2750</v>
      </c>
      <c r="G54" s="33">
        <v>0</v>
      </c>
      <c r="H54" s="33">
        <v>-5185</v>
      </c>
      <c r="I54" s="18">
        <f t="shared" si="7"/>
        <v>48928</v>
      </c>
      <c r="J54" s="2" t="s">
        <v>247</v>
      </c>
      <c r="K54" s="2" t="s">
        <v>248</v>
      </c>
    </row>
    <row r="55" spans="1:11" x14ac:dyDescent="0.25">
      <c r="A55" s="33" t="s">
        <v>255</v>
      </c>
      <c r="B55" s="33">
        <v>0</v>
      </c>
      <c r="C55" s="33">
        <v>644815</v>
      </c>
      <c r="D55" s="33">
        <v>0</v>
      </c>
      <c r="E55" s="33">
        <v>0</v>
      </c>
      <c r="F55" s="33">
        <v>0</v>
      </c>
      <c r="G55" s="33">
        <v>0</v>
      </c>
      <c r="H55" s="33">
        <v>25081</v>
      </c>
      <c r="I55" s="18">
        <f t="shared" si="7"/>
        <v>669896</v>
      </c>
      <c r="J55" s="2" t="s">
        <v>247</v>
      </c>
      <c r="K55" s="2" t="s">
        <v>248</v>
      </c>
    </row>
    <row r="56" spans="1:11" x14ac:dyDescent="0.25">
      <c r="A56" s="33" t="s">
        <v>256</v>
      </c>
      <c r="B56" s="33">
        <v>0</v>
      </c>
      <c r="C56" s="33">
        <v>0</v>
      </c>
      <c r="D56" s="33">
        <v>-6</v>
      </c>
      <c r="E56" s="33">
        <v>0</v>
      </c>
      <c r="F56" s="33">
        <v>-549872</v>
      </c>
      <c r="G56" s="33">
        <v>0</v>
      </c>
      <c r="H56" s="33">
        <v>-124415</v>
      </c>
      <c r="I56" s="18">
        <f t="shared" si="7"/>
        <v>-674293</v>
      </c>
      <c r="J56" s="2" t="s">
        <v>257</v>
      </c>
    </row>
    <row r="57" spans="1:11" x14ac:dyDescent="0.25">
      <c r="A57" s="33" t="s">
        <v>258</v>
      </c>
      <c r="B57" s="33">
        <v>0</v>
      </c>
      <c r="C57" s="33">
        <v>0</v>
      </c>
      <c r="D57" s="33">
        <v>0</v>
      </c>
      <c r="E57" s="33">
        <v>0</v>
      </c>
      <c r="F57" s="33">
        <v>1716</v>
      </c>
      <c r="G57" s="33">
        <v>0</v>
      </c>
      <c r="H57" s="33">
        <v>0</v>
      </c>
      <c r="I57" s="18">
        <f t="shared" si="7"/>
        <v>1716</v>
      </c>
      <c r="J57" s="2" t="s">
        <v>257</v>
      </c>
    </row>
    <row r="58" spans="1:11" x14ac:dyDescent="0.25">
      <c r="A58" s="33" t="s">
        <v>50</v>
      </c>
      <c r="B58" s="33">
        <v>0</v>
      </c>
      <c r="C58" s="33">
        <v>0</v>
      </c>
      <c r="D58" s="33">
        <v>0</v>
      </c>
      <c r="E58" s="33">
        <v>0</v>
      </c>
      <c r="F58" s="33">
        <v>431703</v>
      </c>
      <c r="G58" s="33">
        <v>0</v>
      </c>
      <c r="H58" s="33">
        <v>-73941</v>
      </c>
      <c r="I58" s="18">
        <f t="shared" si="7"/>
        <v>357762</v>
      </c>
      <c r="J58" s="2" t="s">
        <v>234</v>
      </c>
    </row>
    <row r="59" spans="1:11" x14ac:dyDescent="0.25">
      <c r="A59" s="33" t="s">
        <v>259</v>
      </c>
      <c r="B59" s="33">
        <v>0</v>
      </c>
      <c r="C59" s="33">
        <v>0</v>
      </c>
      <c r="D59" s="33">
        <v>0</v>
      </c>
      <c r="E59" s="33">
        <v>0</v>
      </c>
      <c r="F59" s="33">
        <v>0</v>
      </c>
      <c r="G59" s="33">
        <v>0</v>
      </c>
      <c r="H59" s="33">
        <v>0</v>
      </c>
      <c r="I59" s="18">
        <f t="shared" si="7"/>
        <v>0</v>
      </c>
      <c r="J59" s="2" t="s">
        <v>234</v>
      </c>
    </row>
    <row r="60" spans="1:11" x14ac:dyDescent="0.25">
      <c r="A60" s="33" t="s">
        <v>260</v>
      </c>
      <c r="B60" s="33">
        <v>0</v>
      </c>
      <c r="C60" s="33">
        <v>53</v>
      </c>
      <c r="D60" s="33">
        <v>0</v>
      </c>
      <c r="E60" s="33">
        <v>0</v>
      </c>
      <c r="F60" s="33">
        <v>0</v>
      </c>
      <c r="G60" s="33">
        <v>0</v>
      </c>
      <c r="H60" s="33">
        <v>-164</v>
      </c>
      <c r="I60" s="18">
        <f t="shared" si="7"/>
        <v>-111</v>
      </c>
      <c r="J60" s="2" t="s">
        <v>234</v>
      </c>
    </row>
    <row r="61" spans="1:11" x14ac:dyDescent="0.25">
      <c r="A61" s="33" t="s">
        <v>261</v>
      </c>
      <c r="B61" s="33">
        <v>0</v>
      </c>
      <c r="C61" s="33">
        <v>0</v>
      </c>
      <c r="D61" s="33">
        <v>0</v>
      </c>
      <c r="E61" s="33">
        <v>0</v>
      </c>
      <c r="F61" s="33">
        <v>0</v>
      </c>
      <c r="G61" s="33">
        <v>0</v>
      </c>
      <c r="H61" s="33">
        <v>0</v>
      </c>
      <c r="I61" s="18">
        <f t="shared" si="7"/>
        <v>0</v>
      </c>
      <c r="J61" s="2" t="s">
        <v>234</v>
      </c>
    </row>
    <row r="62" spans="1:11" x14ac:dyDescent="0.25">
      <c r="A62" s="33" t="s">
        <v>262</v>
      </c>
      <c r="B62" s="33">
        <v>0</v>
      </c>
      <c r="C62" s="33">
        <v>50122</v>
      </c>
      <c r="D62" s="33">
        <v>0</v>
      </c>
      <c r="E62" s="33">
        <v>0</v>
      </c>
      <c r="F62" s="33">
        <v>0</v>
      </c>
      <c r="G62" s="33">
        <v>0</v>
      </c>
      <c r="H62" s="33">
        <v>22200</v>
      </c>
      <c r="I62" s="18">
        <f t="shared" si="7"/>
        <v>72322</v>
      </c>
      <c r="J62" s="2" t="s">
        <v>263</v>
      </c>
    </row>
    <row r="63" spans="1:11" x14ac:dyDescent="0.25">
      <c r="A63" s="33" t="s">
        <v>264</v>
      </c>
      <c r="B63" s="33">
        <v>0</v>
      </c>
      <c r="C63" s="33">
        <v>1</v>
      </c>
      <c r="D63" s="33">
        <v>0</v>
      </c>
      <c r="E63" s="33">
        <v>0</v>
      </c>
      <c r="F63" s="33">
        <v>0</v>
      </c>
      <c r="G63" s="33">
        <v>0</v>
      </c>
      <c r="H63" s="33">
        <v>8217662</v>
      </c>
      <c r="I63" s="18">
        <f t="shared" si="7"/>
        <v>8217663</v>
      </c>
      <c r="J63" s="2" t="s">
        <v>234</v>
      </c>
    </row>
    <row r="64" spans="1:11" x14ac:dyDescent="0.25">
      <c r="A64" s="33" t="s">
        <v>265</v>
      </c>
      <c r="B64" s="33">
        <v>0</v>
      </c>
      <c r="C64" s="33">
        <v>112538</v>
      </c>
      <c r="D64" s="33">
        <v>0</v>
      </c>
      <c r="E64" s="33">
        <v>0</v>
      </c>
      <c r="F64" s="33">
        <v>-122340</v>
      </c>
      <c r="G64" s="33">
        <v>0</v>
      </c>
      <c r="H64" s="33">
        <v>-5728</v>
      </c>
      <c r="I64" s="18">
        <f t="shared" si="7"/>
        <v>-15530</v>
      </c>
      <c r="J64" s="2" t="s">
        <v>234</v>
      </c>
    </row>
    <row r="65" spans="1:11" x14ac:dyDescent="0.25">
      <c r="A65" s="33" t="s">
        <v>266</v>
      </c>
      <c r="B65" s="33">
        <v>0</v>
      </c>
      <c r="C65" s="33">
        <v>25000</v>
      </c>
      <c r="D65" s="33">
        <v>0</v>
      </c>
      <c r="E65" s="33">
        <v>0</v>
      </c>
      <c r="F65" s="33">
        <v>284840</v>
      </c>
      <c r="G65" s="33">
        <v>0</v>
      </c>
      <c r="H65" s="33">
        <v>-352</v>
      </c>
      <c r="I65" s="18">
        <f t="shared" si="7"/>
        <v>309488</v>
      </c>
      <c r="J65" s="2" t="s">
        <v>234</v>
      </c>
    </row>
    <row r="66" spans="1:11" x14ac:dyDescent="0.25">
      <c r="A66" s="33" t="s">
        <v>267</v>
      </c>
      <c r="B66" s="33">
        <v>0</v>
      </c>
      <c r="C66" s="33">
        <v>0</v>
      </c>
      <c r="D66" s="33">
        <v>0</v>
      </c>
      <c r="E66" s="33">
        <v>0</v>
      </c>
      <c r="F66" s="33">
        <v>0</v>
      </c>
      <c r="G66" s="33">
        <v>817</v>
      </c>
      <c r="H66" s="33">
        <v>0</v>
      </c>
      <c r="I66" s="18">
        <f t="shared" si="7"/>
        <v>817</v>
      </c>
      <c r="J66" s="2" t="s">
        <v>234</v>
      </c>
    </row>
    <row r="67" spans="1:11" x14ac:dyDescent="0.25">
      <c r="A67" s="33" t="s">
        <v>268</v>
      </c>
      <c r="B67" s="33">
        <v>0</v>
      </c>
      <c r="C67" s="33">
        <v>0</v>
      </c>
      <c r="D67" s="33">
        <v>0</v>
      </c>
      <c r="E67" s="33">
        <v>0</v>
      </c>
      <c r="F67" s="33">
        <v>98041</v>
      </c>
      <c r="G67" s="33">
        <v>0</v>
      </c>
      <c r="H67" s="33">
        <v>-741</v>
      </c>
      <c r="I67" s="18">
        <f t="shared" ref="I67:I68" si="8">SUM(B67:H67)</f>
        <v>97300</v>
      </c>
      <c r="J67" s="2" t="s">
        <v>234</v>
      </c>
    </row>
    <row r="68" spans="1:11" x14ac:dyDescent="0.25">
      <c r="A68" s="33" t="s">
        <v>269</v>
      </c>
      <c r="B68" s="33">
        <v>0</v>
      </c>
      <c r="C68" s="33">
        <v>117350</v>
      </c>
      <c r="D68" s="33">
        <v>0</v>
      </c>
      <c r="E68" s="33">
        <v>0</v>
      </c>
      <c r="F68" s="33">
        <v>0</v>
      </c>
      <c r="G68" s="33">
        <v>0</v>
      </c>
      <c r="H68" s="33">
        <v>0</v>
      </c>
      <c r="I68" s="18">
        <f t="shared" si="8"/>
        <v>117350</v>
      </c>
      <c r="J68" s="2" t="s">
        <v>234</v>
      </c>
    </row>
    <row r="69" spans="1:11" x14ac:dyDescent="0.25">
      <c r="A69" s="33" t="s">
        <v>270</v>
      </c>
      <c r="B69" s="33">
        <v>0</v>
      </c>
      <c r="C69" s="33">
        <v>7</v>
      </c>
      <c r="D69" s="33">
        <v>0</v>
      </c>
      <c r="E69" s="33">
        <v>0</v>
      </c>
      <c r="F69" s="33">
        <v>0</v>
      </c>
      <c r="G69" s="33">
        <v>0</v>
      </c>
      <c r="H69" s="33">
        <v>0</v>
      </c>
      <c r="I69" s="18">
        <f>SUM(B69:H69)</f>
        <v>7</v>
      </c>
      <c r="J69" s="2" t="s">
        <v>234</v>
      </c>
    </row>
    <row r="70" spans="1:11" x14ac:dyDescent="0.25">
      <c r="A70" s="33" t="s">
        <v>53</v>
      </c>
      <c r="B70" s="33">
        <v>0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3">
        <v>0</v>
      </c>
      <c r="I70" s="18">
        <f>SUM(B70:H70)</f>
        <v>0</v>
      </c>
      <c r="J70" s="2" t="s">
        <v>234</v>
      </c>
    </row>
    <row r="71" spans="1:11" x14ac:dyDescent="0.25">
      <c r="A71" s="33" t="s">
        <v>90</v>
      </c>
      <c r="B71" s="33">
        <v>0</v>
      </c>
      <c r="C71" s="33">
        <v>0</v>
      </c>
      <c r="D71" s="33">
        <v>0</v>
      </c>
      <c r="E71" s="33">
        <v>0</v>
      </c>
      <c r="F71" s="33">
        <v>0</v>
      </c>
      <c r="G71" s="33">
        <v>0</v>
      </c>
      <c r="H71" s="33">
        <v>0</v>
      </c>
      <c r="I71" s="18">
        <f>SUM(B71:H71)</f>
        <v>0</v>
      </c>
      <c r="J71" s="2" t="s">
        <v>234</v>
      </c>
    </row>
    <row r="72" spans="1:11" x14ac:dyDescent="0.25">
      <c r="B72" s="66">
        <f t="shared" ref="B72:I72" si="9">SUM(B34:B71)</f>
        <v>123237</v>
      </c>
      <c r="C72" s="66">
        <f t="shared" si="9"/>
        <v>4206635</v>
      </c>
      <c r="D72" s="66">
        <f t="shared" si="9"/>
        <v>761004</v>
      </c>
      <c r="E72" s="66">
        <f t="shared" si="9"/>
        <v>-3</v>
      </c>
      <c r="F72" s="66">
        <f t="shared" si="9"/>
        <v>3985351</v>
      </c>
      <c r="G72" s="66">
        <f t="shared" si="9"/>
        <v>817</v>
      </c>
      <c r="H72" s="66">
        <f t="shared" si="9"/>
        <v>12464696</v>
      </c>
      <c r="I72" s="66">
        <f t="shared" si="9"/>
        <v>21541737</v>
      </c>
    </row>
    <row r="73" spans="1:11" x14ac:dyDescent="0.25">
      <c r="A73" s="2" t="s">
        <v>271</v>
      </c>
      <c r="J73" s="1"/>
      <c r="K73" s="1"/>
    </row>
    <row r="74" spans="1:11" x14ac:dyDescent="0.25">
      <c r="A74" s="2" t="s">
        <v>272</v>
      </c>
      <c r="J74" s="1"/>
    </row>
    <row r="75" spans="1:11" x14ac:dyDescent="0.25">
      <c r="A75" s="2" t="s">
        <v>273</v>
      </c>
    </row>
  </sheetData>
  <mergeCells count="1">
    <mergeCell ref="B5:G5"/>
  </mergeCells>
  <printOptions horizontalCentered="1"/>
  <pageMargins left="0.5" right="0.5" top="0.5" bottom="0.5" header="0.3" footer="0.3"/>
  <pageSetup scale="80" fitToHeight="0" orientation="landscape" r:id="rId1"/>
  <headerFooter>
    <oddFooter>&amp;L&amp;8&amp;D&amp;C&amp;8&amp;P&amp;R&amp;8&amp;A</oddFooter>
  </headerFooter>
  <rowBreaks count="1" manualBreakCount="1">
    <brk id="31" max="16383" man="1"/>
  </rowBreaks>
  <ignoredErrors>
    <ignoredError sqref="F6" numberStoredAsText="1"/>
    <ignoredError sqref="F11 F13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7ED7E-DA71-46A8-8195-8D253586E61F}">
  <sheetPr>
    <tabColor theme="9"/>
    <pageSetUpPr fitToPage="1"/>
  </sheetPr>
  <dimension ref="A1:K138"/>
  <sheetViews>
    <sheetView workbookViewId="0">
      <selection activeCell="N12" sqref="N12"/>
    </sheetView>
  </sheetViews>
  <sheetFormatPr defaultColWidth="8.85546875" defaultRowHeight="15" x14ac:dyDescent="0.25"/>
  <cols>
    <col min="1" max="1" width="35.28515625" style="2" customWidth="1"/>
    <col min="2" max="3" width="13.28515625" style="2" customWidth="1"/>
    <col min="4" max="10" width="13.28515625" style="1" customWidth="1"/>
    <col min="11" max="11" width="2.85546875" style="2" customWidth="1"/>
    <col min="12" max="12" width="14" style="2" customWidth="1"/>
    <col min="13" max="16384" width="8.85546875" style="2"/>
  </cols>
  <sheetData>
    <row r="1" spans="1:10" ht="25.9" customHeight="1" x14ac:dyDescent="0.4">
      <c r="A1" s="3"/>
      <c r="B1" s="3"/>
      <c r="C1" s="3"/>
      <c r="J1" s="26"/>
    </row>
    <row r="2" spans="1:10" ht="25.9" customHeight="1" x14ac:dyDescent="0.3">
      <c r="A2" s="3"/>
      <c r="B2" s="3"/>
      <c r="C2" s="3"/>
    </row>
    <row r="3" spans="1:10" ht="18.75" customHeight="1" x14ac:dyDescent="0.3">
      <c r="A3" s="3" t="s">
        <v>274</v>
      </c>
      <c r="B3" s="3"/>
      <c r="C3" s="3"/>
      <c r="J3" s="6" t="str">
        <f>+'Attachment A - Base'!I3</f>
        <v>BPA #25-01</v>
      </c>
    </row>
    <row r="4" spans="1:10" ht="20.100000000000001" customHeight="1" x14ac:dyDescent="0.25">
      <c r="A4" s="17">
        <f>+'Attachment A - Base'!A4</f>
        <v>45881</v>
      </c>
      <c r="B4" s="17"/>
      <c r="C4" s="17"/>
    </row>
    <row r="5" spans="1:10" x14ac:dyDescent="0.25">
      <c r="D5" s="169"/>
      <c r="E5" s="169"/>
      <c r="F5" s="169"/>
      <c r="G5" s="169"/>
      <c r="H5" s="169"/>
      <c r="I5" s="169"/>
      <c r="J5" s="169"/>
    </row>
    <row r="6" spans="1:10" x14ac:dyDescent="0.25">
      <c r="B6" s="1"/>
      <c r="J6" s="19"/>
    </row>
    <row r="7" spans="1:10" ht="75.75" thickBot="1" x14ac:dyDescent="0.3">
      <c r="A7" s="4"/>
      <c r="B7" s="5" t="s">
        <v>275</v>
      </c>
      <c r="C7" s="5" t="s">
        <v>57</v>
      </c>
      <c r="D7" s="5" t="s">
        <v>58</v>
      </c>
      <c r="E7" s="5" t="s">
        <v>59</v>
      </c>
      <c r="F7" s="5" t="s">
        <v>60</v>
      </c>
      <c r="G7" s="5" t="s">
        <v>61</v>
      </c>
      <c r="H7" s="5" t="s">
        <v>62</v>
      </c>
      <c r="I7" s="5" t="s">
        <v>276</v>
      </c>
      <c r="J7" s="20" t="s">
        <v>277</v>
      </c>
    </row>
    <row r="8" spans="1:10" ht="19.149999999999999" customHeight="1" x14ac:dyDescent="0.25">
      <c r="A8" s="14"/>
      <c r="B8" s="14"/>
      <c r="C8" s="14"/>
      <c r="D8" s="16"/>
      <c r="E8" s="16"/>
      <c r="F8" s="16"/>
      <c r="G8" s="16"/>
      <c r="H8" s="16"/>
      <c r="I8" s="16"/>
      <c r="J8" s="21"/>
    </row>
    <row r="9" spans="1:10" ht="19.149999999999999" customHeight="1" x14ac:dyDescent="0.25">
      <c r="A9" s="2" t="s">
        <v>17</v>
      </c>
      <c r="D9" s="109"/>
      <c r="E9" s="109"/>
      <c r="F9" s="109"/>
      <c r="G9" s="109"/>
      <c r="H9" s="109"/>
      <c r="I9" s="109"/>
      <c r="J9" s="22">
        <f>SUM(B9:I9)</f>
        <v>0</v>
      </c>
    </row>
    <row r="10" spans="1:10" ht="19.149999999999999" customHeight="1" x14ac:dyDescent="0.25">
      <c r="A10" s="2" t="s">
        <v>18</v>
      </c>
      <c r="B10" s="2">
        <f>+B24</f>
        <v>628944</v>
      </c>
      <c r="C10" s="2">
        <f>+B25</f>
        <v>636410</v>
      </c>
      <c r="D10" s="109">
        <f>+B29</f>
        <v>1919329</v>
      </c>
      <c r="E10" s="109"/>
      <c r="F10" s="109"/>
      <c r="G10" s="109">
        <f>+C102</f>
        <v>-18435</v>
      </c>
      <c r="H10" s="109">
        <f>+C121</f>
        <v>260915</v>
      </c>
      <c r="I10" s="109"/>
      <c r="J10" s="22">
        <f t="shared" ref="J10:J17" si="0">SUM(B10:I10)</f>
        <v>3427163</v>
      </c>
    </row>
    <row r="11" spans="1:10" ht="19.149999999999999" customHeight="1" x14ac:dyDescent="0.25">
      <c r="A11" s="2" t="s">
        <v>19</v>
      </c>
      <c r="D11" s="109"/>
      <c r="E11" s="109"/>
      <c r="F11" s="109"/>
      <c r="G11" s="109"/>
      <c r="H11" s="109">
        <f>+C124</f>
        <v>4950</v>
      </c>
      <c r="I11" s="109"/>
      <c r="J11" s="22">
        <f t="shared" si="0"/>
        <v>4950</v>
      </c>
    </row>
    <row r="12" spans="1:10" ht="19.149999999999999" customHeight="1" x14ac:dyDescent="0.25">
      <c r="A12" s="2" t="s">
        <v>20</v>
      </c>
      <c r="D12" s="109">
        <f>+B30</f>
        <v>987911</v>
      </c>
      <c r="E12" s="109"/>
      <c r="F12" s="109"/>
      <c r="G12" s="109"/>
      <c r="H12" s="109"/>
      <c r="I12" s="109"/>
      <c r="J12" s="22">
        <f t="shared" si="0"/>
        <v>987911</v>
      </c>
    </row>
    <row r="13" spans="1:10" ht="19.149999999999999" customHeight="1" x14ac:dyDescent="0.25">
      <c r="A13" s="2" t="s">
        <v>21</v>
      </c>
      <c r="D13" s="109">
        <f>+B31</f>
        <v>284445</v>
      </c>
      <c r="E13" s="109">
        <f>+C36</f>
        <v>4781699</v>
      </c>
      <c r="F13" s="109">
        <f>+C41</f>
        <v>470995</v>
      </c>
      <c r="G13" s="109"/>
      <c r="H13" s="109">
        <f>+C127</f>
        <v>6852</v>
      </c>
      <c r="I13" s="109"/>
      <c r="J13" s="22">
        <f t="shared" si="0"/>
        <v>5543991</v>
      </c>
    </row>
    <row r="14" spans="1:10" ht="19.149999999999999" customHeight="1" x14ac:dyDescent="0.25">
      <c r="A14" s="2" t="s">
        <v>22</v>
      </c>
      <c r="D14" s="109"/>
      <c r="E14" s="109"/>
      <c r="F14" s="109"/>
      <c r="G14" s="109"/>
      <c r="H14" s="109">
        <f>+C131</f>
        <v>-364560</v>
      </c>
      <c r="I14" s="109"/>
      <c r="J14" s="22">
        <f t="shared" si="0"/>
        <v>-364560</v>
      </c>
    </row>
    <row r="15" spans="1:10" ht="19.149999999999999" customHeight="1" x14ac:dyDescent="0.25">
      <c r="A15" s="9" t="s">
        <v>23</v>
      </c>
      <c r="B15" s="110">
        <f t="shared" ref="B15:C15" si="1">SUM(B9:B14)</f>
        <v>628944</v>
      </c>
      <c r="C15" s="111">
        <f t="shared" si="1"/>
        <v>636410</v>
      </c>
      <c r="D15" s="111">
        <f t="shared" ref="D15:J15" si="2">SUM(D9:D14)</f>
        <v>3191685</v>
      </c>
      <c r="E15" s="111">
        <f t="shared" si="2"/>
        <v>4781699</v>
      </c>
      <c r="F15" s="111">
        <f t="shared" si="2"/>
        <v>470995</v>
      </c>
      <c r="G15" s="111">
        <f t="shared" si="2"/>
        <v>-18435</v>
      </c>
      <c r="H15" s="111">
        <f t="shared" si="2"/>
        <v>-91843</v>
      </c>
      <c r="I15" s="111">
        <f t="shared" si="2"/>
        <v>0</v>
      </c>
      <c r="J15" s="23">
        <f t="shared" si="2"/>
        <v>9599455</v>
      </c>
    </row>
    <row r="16" spans="1:10" ht="19.149999999999999" customHeight="1" x14ac:dyDescent="0.25">
      <c r="A16" s="2" t="s">
        <v>24</v>
      </c>
      <c r="D16" s="2"/>
      <c r="E16" s="2"/>
      <c r="F16" s="2"/>
      <c r="G16" s="2"/>
      <c r="H16" s="2"/>
      <c r="I16" s="109">
        <v>13399</v>
      </c>
      <c r="J16" s="22">
        <f>SUM(B16:I16)</f>
        <v>13399</v>
      </c>
    </row>
    <row r="17" spans="1:10" ht="19.149999999999999" customHeight="1" x14ac:dyDescent="0.25">
      <c r="A17" s="2" t="s">
        <v>25</v>
      </c>
      <c r="B17" s="109"/>
      <c r="C17" s="109"/>
      <c r="D17" s="109"/>
      <c r="E17" s="109"/>
      <c r="F17" s="109"/>
      <c r="G17" s="109"/>
      <c r="H17" s="109"/>
      <c r="I17" s="109">
        <f>697395-13399</f>
        <v>683996</v>
      </c>
      <c r="J17" s="22">
        <f t="shared" si="0"/>
        <v>683996</v>
      </c>
    </row>
    <row r="18" spans="1:10" ht="15" customHeight="1" thickBot="1" x14ac:dyDescent="0.3">
      <c r="A18" s="10" t="s">
        <v>26</v>
      </c>
      <c r="B18" s="112">
        <f>SUM(B15:B17)</f>
        <v>628944</v>
      </c>
      <c r="C18" s="112">
        <f t="shared" ref="C18:I18" si="3">SUM(C15:C17)</f>
        <v>636410</v>
      </c>
      <c r="D18" s="112">
        <f t="shared" si="3"/>
        <v>3191685</v>
      </c>
      <c r="E18" s="112">
        <f t="shared" si="3"/>
        <v>4781699</v>
      </c>
      <c r="F18" s="112">
        <f t="shared" si="3"/>
        <v>470995</v>
      </c>
      <c r="G18" s="112">
        <f t="shared" si="3"/>
        <v>-18435</v>
      </c>
      <c r="H18" s="112">
        <f t="shared" si="3"/>
        <v>-91843</v>
      </c>
      <c r="I18" s="112">
        <f t="shared" si="3"/>
        <v>697395</v>
      </c>
      <c r="J18" s="24">
        <f t="shared" ref="J18" si="4">SUM(J15:J17)</f>
        <v>10296850</v>
      </c>
    </row>
    <row r="19" spans="1:10" ht="15" customHeight="1" x14ac:dyDescent="0.25">
      <c r="A19" s="2" t="s">
        <v>278</v>
      </c>
      <c r="D19" s="12"/>
      <c r="E19" s="13"/>
      <c r="F19" s="13"/>
      <c r="G19" s="13"/>
      <c r="H19" s="13"/>
      <c r="I19" s="13"/>
      <c r="J19" s="13"/>
    </row>
    <row r="20" spans="1:10" ht="15" customHeight="1" x14ac:dyDescent="0.25">
      <c r="D20" s="12"/>
      <c r="E20" s="13"/>
      <c r="F20" s="13"/>
      <c r="G20" s="13"/>
      <c r="H20" s="13"/>
      <c r="I20" s="13"/>
      <c r="J20" s="13"/>
    </row>
    <row r="21" spans="1:10" x14ac:dyDescent="0.25">
      <c r="A21" s="70"/>
      <c r="D21" s="153" t="s">
        <v>279</v>
      </c>
    </row>
    <row r="22" spans="1:10" x14ac:dyDescent="0.25">
      <c r="A22" s="70"/>
      <c r="B22" s="144" t="s">
        <v>280</v>
      </c>
      <c r="D22" s="151" t="s">
        <v>281</v>
      </c>
    </row>
    <row r="23" spans="1:10" x14ac:dyDescent="0.25">
      <c r="A23" s="67" t="s">
        <v>65</v>
      </c>
      <c r="C23" s="79"/>
      <c r="D23" s="145"/>
      <c r="E23" s="117"/>
    </row>
    <row r="24" spans="1:10" x14ac:dyDescent="0.25">
      <c r="A24" s="2" t="s">
        <v>282</v>
      </c>
      <c r="B24" s="2">
        <v>628944</v>
      </c>
      <c r="C24" s="79"/>
      <c r="D24" s="145">
        <v>-18390</v>
      </c>
      <c r="E24" s="117"/>
    </row>
    <row r="25" spans="1:10" x14ac:dyDescent="0.25">
      <c r="A25" s="2" t="s">
        <v>70</v>
      </c>
      <c r="B25" s="2">
        <v>636410</v>
      </c>
      <c r="C25" s="79"/>
      <c r="D25" s="145">
        <v>-221688</v>
      </c>
      <c r="E25" s="117"/>
    </row>
    <row r="26" spans="1:10" x14ac:dyDescent="0.25">
      <c r="A26" s="71" t="s">
        <v>69</v>
      </c>
      <c r="B26" s="69"/>
      <c r="C26" s="69">
        <f>SUM(B24:B25)</f>
        <v>1265354</v>
      </c>
      <c r="D26" s="146">
        <f>SUM(D24:D25)</f>
        <v>-240078</v>
      </c>
      <c r="E26" s="117"/>
    </row>
    <row r="27" spans="1:10" x14ac:dyDescent="0.25">
      <c r="A27" s="70"/>
      <c r="C27" s="79"/>
      <c r="D27" s="145"/>
      <c r="E27" s="117"/>
    </row>
    <row r="28" spans="1:10" x14ac:dyDescent="0.25">
      <c r="A28" s="67" t="s">
        <v>71</v>
      </c>
      <c r="C28" s="79"/>
      <c r="D28" s="145"/>
      <c r="E28" s="117"/>
    </row>
    <row r="29" spans="1:10" x14ac:dyDescent="0.25">
      <c r="A29" s="70" t="s">
        <v>18</v>
      </c>
      <c r="B29" s="109">
        <v>1919329</v>
      </c>
      <c r="C29" s="79"/>
      <c r="D29" s="145">
        <v>123141</v>
      </c>
      <c r="E29" s="117"/>
    </row>
    <row r="30" spans="1:10" x14ac:dyDescent="0.25">
      <c r="A30" s="70" t="s">
        <v>20</v>
      </c>
      <c r="B30" s="109">
        <v>987911</v>
      </c>
      <c r="C30" s="79"/>
      <c r="D30" s="145">
        <v>80230</v>
      </c>
      <c r="E30" s="117"/>
    </row>
    <row r="31" spans="1:10" x14ac:dyDescent="0.25">
      <c r="A31" s="70" t="s">
        <v>21</v>
      </c>
      <c r="B31" s="109">
        <v>284445</v>
      </c>
      <c r="C31" s="79"/>
      <c r="D31" s="145">
        <v>104516</v>
      </c>
      <c r="E31" s="117"/>
    </row>
    <row r="32" spans="1:10" x14ac:dyDescent="0.25">
      <c r="A32" s="71" t="s">
        <v>7</v>
      </c>
      <c r="B32" s="69"/>
      <c r="C32" s="69">
        <f>SUM(B29:B31)</f>
        <v>3191685</v>
      </c>
      <c r="D32" s="146">
        <f>SUM(D29:D31)</f>
        <v>307887</v>
      </c>
      <c r="E32" s="117"/>
    </row>
    <row r="33" spans="1:5" x14ac:dyDescent="0.25">
      <c r="A33" s="70"/>
      <c r="C33" s="79"/>
      <c r="D33" s="145"/>
      <c r="E33" s="117"/>
    </row>
    <row r="34" spans="1:5" x14ac:dyDescent="0.25">
      <c r="A34" s="67" t="s">
        <v>83</v>
      </c>
      <c r="D34" s="145"/>
      <c r="E34" s="117"/>
    </row>
    <row r="35" spans="1:5" x14ac:dyDescent="0.25">
      <c r="A35" s="2" t="s">
        <v>84</v>
      </c>
      <c r="B35" s="109">
        <f>4781698+1</f>
        <v>4781699</v>
      </c>
      <c r="D35" s="145">
        <v>-68340</v>
      </c>
      <c r="E35" s="117"/>
    </row>
    <row r="36" spans="1:5" x14ac:dyDescent="0.25">
      <c r="A36" s="71" t="s">
        <v>82</v>
      </c>
      <c r="B36" s="73"/>
      <c r="C36" s="73">
        <f>B35</f>
        <v>4781699</v>
      </c>
      <c r="D36" s="147">
        <f>SUM(D35)</f>
        <v>-68340</v>
      </c>
      <c r="E36" s="117"/>
    </row>
    <row r="37" spans="1:5" x14ac:dyDescent="0.25">
      <c r="A37" s="70"/>
      <c r="C37" s="79"/>
      <c r="D37" s="145"/>
      <c r="E37" s="117"/>
    </row>
    <row r="38" spans="1:5" x14ac:dyDescent="0.25">
      <c r="A38" s="67" t="s">
        <v>85</v>
      </c>
      <c r="D38" s="145"/>
      <c r="E38" s="117"/>
    </row>
    <row r="39" spans="1:5" x14ac:dyDescent="0.25">
      <c r="A39" s="2" t="s">
        <v>86</v>
      </c>
      <c r="B39" s="2">
        <v>-829</v>
      </c>
      <c r="D39" s="145">
        <v>77625</v>
      </c>
      <c r="E39" s="117"/>
    </row>
    <row r="40" spans="1:5" x14ac:dyDescent="0.25">
      <c r="A40" s="2" t="s">
        <v>87</v>
      </c>
      <c r="B40" s="2">
        <v>471824</v>
      </c>
      <c r="D40" s="145">
        <v>227903</v>
      </c>
      <c r="E40" s="117"/>
    </row>
    <row r="41" spans="1:5" x14ac:dyDescent="0.25">
      <c r="A41" s="71" t="s">
        <v>82</v>
      </c>
      <c r="B41" s="69"/>
      <c r="C41" s="69">
        <f>SUM(B39:B40)</f>
        <v>470995</v>
      </c>
      <c r="D41" s="146">
        <f>SUM(D39:D40)</f>
        <v>305528</v>
      </c>
      <c r="E41" s="117"/>
    </row>
    <row r="42" spans="1:5" x14ac:dyDescent="0.25">
      <c r="A42" s="70"/>
      <c r="C42" s="79"/>
      <c r="D42" s="145"/>
      <c r="E42" s="117"/>
    </row>
    <row r="43" spans="1:5" x14ac:dyDescent="0.25">
      <c r="A43" s="67" t="s">
        <v>89</v>
      </c>
      <c r="C43" s="79"/>
      <c r="D43" s="145"/>
      <c r="E43" s="117"/>
    </row>
    <row r="44" spans="1:5" x14ac:dyDescent="0.25">
      <c r="A44" s="70" t="s">
        <v>91</v>
      </c>
      <c r="B44" s="2">
        <v>-582</v>
      </c>
      <c r="C44" s="79"/>
      <c r="D44" s="145"/>
      <c r="E44" s="117"/>
    </row>
    <row r="45" spans="1:5" x14ac:dyDescent="0.25">
      <c r="A45" s="70" t="s">
        <v>93</v>
      </c>
      <c r="B45" s="2">
        <v>-291</v>
      </c>
      <c r="C45" s="79"/>
      <c r="D45" s="145"/>
      <c r="E45" s="117"/>
    </row>
    <row r="46" spans="1:5" x14ac:dyDescent="0.25">
      <c r="A46" s="70" t="s">
        <v>94</v>
      </c>
      <c r="B46" s="2">
        <v>-321</v>
      </c>
      <c r="C46" s="79"/>
      <c r="D46" s="145"/>
      <c r="E46" s="117"/>
    </row>
    <row r="47" spans="1:5" x14ac:dyDescent="0.25">
      <c r="A47" s="70" t="s">
        <v>95</v>
      </c>
      <c r="B47" s="2">
        <v>1336</v>
      </c>
      <c r="C47" s="79"/>
      <c r="D47" s="145"/>
      <c r="E47" s="117"/>
    </row>
    <row r="48" spans="1:5" x14ac:dyDescent="0.25">
      <c r="A48" s="70" t="s">
        <v>96</v>
      </c>
      <c r="B48" s="2">
        <v>-7788</v>
      </c>
      <c r="C48" s="79"/>
      <c r="D48" s="145"/>
      <c r="E48" s="117"/>
    </row>
    <row r="49" spans="1:5" x14ac:dyDescent="0.25">
      <c r="A49" s="70" t="s">
        <v>98</v>
      </c>
      <c r="B49" s="2">
        <v>-1083</v>
      </c>
      <c r="C49" s="79"/>
      <c r="D49" s="145">
        <v>-5</v>
      </c>
      <c r="E49" s="117"/>
    </row>
    <row r="50" spans="1:5" x14ac:dyDescent="0.25">
      <c r="A50" s="70" t="s">
        <v>99</v>
      </c>
      <c r="B50" s="2">
        <v>-113</v>
      </c>
      <c r="C50" s="79"/>
      <c r="D50" s="145"/>
      <c r="E50" s="117"/>
    </row>
    <row r="51" spans="1:5" x14ac:dyDescent="0.25">
      <c r="A51" s="70" t="s">
        <v>100</v>
      </c>
      <c r="B51" s="2">
        <v>-1867</v>
      </c>
      <c r="C51" s="79"/>
      <c r="D51" s="145"/>
      <c r="E51" s="117"/>
    </row>
    <row r="52" spans="1:5" x14ac:dyDescent="0.25">
      <c r="A52" s="70" t="s">
        <v>101</v>
      </c>
      <c r="B52" s="2">
        <v>562</v>
      </c>
      <c r="C52" s="79"/>
      <c r="D52" s="145"/>
      <c r="E52" s="117"/>
    </row>
    <row r="53" spans="1:5" x14ac:dyDescent="0.25">
      <c r="A53" s="70" t="s">
        <v>102</v>
      </c>
      <c r="B53" s="2">
        <v>-101</v>
      </c>
      <c r="C53" s="79"/>
      <c r="D53" s="145"/>
      <c r="E53" s="117"/>
    </row>
    <row r="54" spans="1:5" x14ac:dyDescent="0.25">
      <c r="A54" s="70" t="s">
        <v>103</v>
      </c>
      <c r="B54" s="2">
        <v>-3712</v>
      </c>
      <c r="C54" s="79"/>
      <c r="D54" s="145">
        <v>-19</v>
      </c>
      <c r="E54" s="117"/>
    </row>
    <row r="55" spans="1:5" x14ac:dyDescent="0.25">
      <c r="A55" s="70" t="s">
        <v>104</v>
      </c>
      <c r="B55" s="2">
        <v>-305</v>
      </c>
      <c r="C55" s="79"/>
      <c r="D55" s="145"/>
      <c r="E55" s="117"/>
    </row>
    <row r="56" spans="1:5" x14ac:dyDescent="0.25">
      <c r="A56" s="70" t="s">
        <v>105</v>
      </c>
      <c r="B56" s="2">
        <v>683</v>
      </c>
      <c r="C56" s="79"/>
      <c r="D56" s="145">
        <v>318</v>
      </c>
      <c r="E56" s="117"/>
    </row>
    <row r="57" spans="1:5" x14ac:dyDescent="0.25">
      <c r="A57" s="70" t="s">
        <v>106</v>
      </c>
      <c r="B57" s="2">
        <v>-2108</v>
      </c>
      <c r="C57" s="79"/>
      <c r="D57" s="145"/>
      <c r="E57" s="117"/>
    </row>
    <row r="58" spans="1:5" x14ac:dyDescent="0.25">
      <c r="A58" s="70" t="s">
        <v>107</v>
      </c>
      <c r="B58" s="2">
        <v>130</v>
      </c>
      <c r="C58" s="79"/>
      <c r="D58" s="145">
        <v>-11</v>
      </c>
      <c r="E58" s="117"/>
    </row>
    <row r="59" spans="1:5" x14ac:dyDescent="0.25">
      <c r="A59" s="70" t="s">
        <v>108</v>
      </c>
      <c r="B59" s="2">
        <v>-2633</v>
      </c>
      <c r="C59" s="79"/>
      <c r="D59" s="145"/>
      <c r="E59" s="117"/>
    </row>
    <row r="60" spans="1:5" x14ac:dyDescent="0.25">
      <c r="A60" s="70" t="s">
        <v>109</v>
      </c>
      <c r="B60" s="2">
        <v>30</v>
      </c>
      <c r="C60" s="79"/>
      <c r="D60" s="145"/>
      <c r="E60" s="117"/>
    </row>
    <row r="61" spans="1:5" x14ac:dyDescent="0.25">
      <c r="A61" s="70" t="s">
        <v>110</v>
      </c>
      <c r="B61" s="2">
        <v>-212</v>
      </c>
      <c r="C61" s="79"/>
      <c r="D61" s="145"/>
      <c r="E61" s="117"/>
    </row>
    <row r="62" spans="1:5" x14ac:dyDescent="0.25">
      <c r="A62" s="70" t="s">
        <v>111</v>
      </c>
      <c r="B62" s="2">
        <v>-7927</v>
      </c>
      <c r="C62" s="79"/>
      <c r="D62" s="145"/>
      <c r="E62" s="117"/>
    </row>
    <row r="63" spans="1:5" x14ac:dyDescent="0.25">
      <c r="A63" s="70" t="s">
        <v>113</v>
      </c>
      <c r="B63" s="2">
        <v>-21046</v>
      </c>
      <c r="C63" s="79"/>
      <c r="D63" s="145"/>
      <c r="E63" s="117"/>
    </row>
    <row r="64" spans="1:5" x14ac:dyDescent="0.25">
      <c r="A64" s="70" t="s">
        <v>114</v>
      </c>
      <c r="B64" s="2">
        <v>-375</v>
      </c>
      <c r="C64" s="79"/>
      <c r="D64" s="145"/>
      <c r="E64" s="117"/>
    </row>
    <row r="65" spans="1:5" x14ac:dyDescent="0.25">
      <c r="A65" s="70" t="s">
        <v>283</v>
      </c>
      <c r="B65" s="2">
        <v>378</v>
      </c>
      <c r="C65" s="79"/>
      <c r="D65" s="145"/>
      <c r="E65" s="117"/>
    </row>
    <row r="66" spans="1:5" x14ac:dyDescent="0.25">
      <c r="A66" s="70" t="s">
        <v>118</v>
      </c>
      <c r="B66" s="2">
        <v>12</v>
      </c>
      <c r="C66" s="79"/>
      <c r="D66" s="145"/>
      <c r="E66" s="117"/>
    </row>
    <row r="67" spans="1:5" x14ac:dyDescent="0.25">
      <c r="A67" s="70" t="s">
        <v>119</v>
      </c>
      <c r="B67" s="2">
        <v>3119</v>
      </c>
      <c r="C67" s="79"/>
      <c r="D67" s="145">
        <v>221</v>
      </c>
      <c r="E67" s="117"/>
    </row>
    <row r="68" spans="1:5" x14ac:dyDescent="0.25">
      <c r="A68" s="70" t="s">
        <v>120</v>
      </c>
      <c r="B68" s="2">
        <v>-2758</v>
      </c>
      <c r="C68" s="79"/>
      <c r="D68" s="145"/>
      <c r="E68" s="117"/>
    </row>
    <row r="69" spans="1:5" x14ac:dyDescent="0.25">
      <c r="A69" s="70" t="s">
        <v>121</v>
      </c>
      <c r="B69" s="2">
        <v>334</v>
      </c>
      <c r="C69" s="79"/>
      <c r="D69" s="145"/>
      <c r="E69" s="117"/>
    </row>
    <row r="70" spans="1:5" x14ac:dyDescent="0.25">
      <c r="A70" s="70" t="s">
        <v>284</v>
      </c>
      <c r="B70" s="2">
        <v>1091</v>
      </c>
      <c r="C70" s="79"/>
      <c r="D70" s="145">
        <v>1154</v>
      </c>
      <c r="E70" s="117"/>
    </row>
    <row r="71" spans="1:5" x14ac:dyDescent="0.25">
      <c r="A71" s="70" t="s">
        <v>285</v>
      </c>
      <c r="B71" s="2">
        <v>1186</v>
      </c>
      <c r="C71" s="79"/>
      <c r="D71" s="145">
        <v>1282</v>
      </c>
      <c r="E71" s="117"/>
    </row>
    <row r="72" spans="1:5" x14ac:dyDescent="0.25">
      <c r="A72" s="70" t="s">
        <v>123</v>
      </c>
      <c r="B72" s="2">
        <v>-143</v>
      </c>
      <c r="C72" s="79"/>
      <c r="D72" s="145"/>
      <c r="E72" s="117"/>
    </row>
    <row r="73" spans="1:5" x14ac:dyDescent="0.25">
      <c r="A73" s="70" t="s">
        <v>124</v>
      </c>
      <c r="B73" s="2">
        <v>-3</v>
      </c>
      <c r="C73" s="79"/>
      <c r="D73" s="145"/>
      <c r="E73" s="117"/>
    </row>
    <row r="74" spans="1:5" x14ac:dyDescent="0.25">
      <c r="A74" s="70" t="s">
        <v>125</v>
      </c>
      <c r="B74" s="2">
        <v>-19</v>
      </c>
      <c r="C74" s="79"/>
      <c r="D74" s="145"/>
      <c r="E74" s="117"/>
    </row>
    <row r="75" spans="1:5" x14ac:dyDescent="0.25">
      <c r="A75" s="70" t="s">
        <v>126</v>
      </c>
      <c r="B75" s="2">
        <v>-73</v>
      </c>
      <c r="C75" s="79"/>
      <c r="D75" s="145"/>
      <c r="E75" s="117"/>
    </row>
    <row r="76" spans="1:5" x14ac:dyDescent="0.25">
      <c r="A76" s="70" t="s">
        <v>127</v>
      </c>
      <c r="B76" s="2">
        <v>95</v>
      </c>
      <c r="C76" s="79"/>
      <c r="D76" s="145">
        <v>78</v>
      </c>
      <c r="E76" s="117"/>
    </row>
    <row r="77" spans="1:5" x14ac:dyDescent="0.25">
      <c r="A77" s="70" t="s">
        <v>129</v>
      </c>
      <c r="B77" s="2">
        <v>19987</v>
      </c>
      <c r="C77" s="79"/>
      <c r="D77" s="145">
        <v>26</v>
      </c>
      <c r="E77" s="117"/>
    </row>
    <row r="78" spans="1:5" x14ac:dyDescent="0.25">
      <c r="A78" s="70" t="s">
        <v>130</v>
      </c>
      <c r="B78" s="2">
        <v>-2</v>
      </c>
      <c r="C78" s="79"/>
      <c r="D78" s="145"/>
      <c r="E78" s="117"/>
    </row>
    <row r="79" spans="1:5" x14ac:dyDescent="0.25">
      <c r="A79" s="70" t="s">
        <v>131</v>
      </c>
      <c r="B79" s="2">
        <v>-278</v>
      </c>
      <c r="C79" s="79"/>
      <c r="D79" s="145"/>
      <c r="E79" s="117"/>
    </row>
    <row r="80" spans="1:5" x14ac:dyDescent="0.25">
      <c r="A80" s="70" t="s">
        <v>286</v>
      </c>
      <c r="B80" s="2">
        <v>-14441</v>
      </c>
      <c r="C80" s="79"/>
      <c r="D80" s="145"/>
      <c r="E80" s="117"/>
    </row>
    <row r="81" spans="1:5" x14ac:dyDescent="0.25">
      <c r="A81" s="70" t="s">
        <v>132</v>
      </c>
      <c r="B81" s="2">
        <v>1883</v>
      </c>
      <c r="C81" s="79"/>
      <c r="D81" s="145"/>
      <c r="E81" s="117"/>
    </row>
    <row r="82" spans="1:5" x14ac:dyDescent="0.25">
      <c r="A82" s="70" t="s">
        <v>133</v>
      </c>
      <c r="B82" s="2">
        <v>-4433</v>
      </c>
      <c r="C82" s="79"/>
      <c r="D82" s="145"/>
      <c r="E82" s="117"/>
    </row>
    <row r="83" spans="1:5" x14ac:dyDescent="0.25">
      <c r="A83" s="70" t="s">
        <v>134</v>
      </c>
      <c r="B83" s="2">
        <v>-14343</v>
      </c>
      <c r="C83" s="79"/>
      <c r="D83" s="145"/>
      <c r="E83" s="117"/>
    </row>
    <row r="84" spans="1:5" x14ac:dyDescent="0.25">
      <c r="A84" s="70" t="s">
        <v>135</v>
      </c>
      <c r="B84" s="2">
        <v>380</v>
      </c>
      <c r="C84" s="79"/>
      <c r="D84" s="145"/>
      <c r="E84" s="117"/>
    </row>
    <row r="85" spans="1:5" x14ac:dyDescent="0.25">
      <c r="A85" s="70" t="s">
        <v>136</v>
      </c>
      <c r="B85" s="2">
        <v>601</v>
      </c>
      <c r="C85" s="79"/>
      <c r="D85" s="145"/>
      <c r="E85" s="117"/>
    </row>
    <row r="86" spans="1:5" x14ac:dyDescent="0.25">
      <c r="A86" s="70" t="s">
        <v>137</v>
      </c>
      <c r="B86" s="2">
        <v>1178</v>
      </c>
      <c r="C86" s="79"/>
      <c r="D86" s="145"/>
      <c r="E86" s="117"/>
    </row>
    <row r="87" spans="1:5" x14ac:dyDescent="0.25">
      <c r="A87" s="70" t="s">
        <v>138</v>
      </c>
      <c r="B87" s="2">
        <v>36718</v>
      </c>
      <c r="C87" s="79"/>
      <c r="D87" s="145">
        <v>203</v>
      </c>
      <c r="E87" s="117"/>
    </row>
    <row r="88" spans="1:5" x14ac:dyDescent="0.25">
      <c r="A88" s="70" t="s">
        <v>139</v>
      </c>
      <c r="B88" s="2">
        <v>-129</v>
      </c>
      <c r="C88" s="79"/>
      <c r="D88" s="145"/>
      <c r="E88" s="117"/>
    </row>
    <row r="89" spans="1:5" x14ac:dyDescent="0.25">
      <c r="A89" s="70" t="s">
        <v>140</v>
      </c>
      <c r="B89" s="2">
        <v>1434</v>
      </c>
      <c r="C89" s="79"/>
      <c r="D89" s="145"/>
      <c r="E89" s="117"/>
    </row>
    <row r="90" spans="1:5" x14ac:dyDescent="0.25">
      <c r="A90" s="70" t="s">
        <v>141</v>
      </c>
      <c r="B90" s="2">
        <v>1811</v>
      </c>
      <c r="C90" s="79"/>
      <c r="D90" s="145">
        <v>150</v>
      </c>
      <c r="E90" s="117"/>
    </row>
    <row r="91" spans="1:5" x14ac:dyDescent="0.25">
      <c r="A91" s="70" t="s">
        <v>142</v>
      </c>
      <c r="B91" s="2">
        <v>3561</v>
      </c>
      <c r="C91" s="79"/>
      <c r="D91" s="145">
        <v>50</v>
      </c>
      <c r="E91" s="117"/>
    </row>
    <row r="92" spans="1:5" x14ac:dyDescent="0.25">
      <c r="A92" s="70" t="s">
        <v>143</v>
      </c>
      <c r="B92" s="2">
        <v>196</v>
      </c>
      <c r="C92" s="79"/>
      <c r="D92" s="145"/>
      <c r="E92" s="117"/>
    </row>
    <row r="93" spans="1:5" x14ac:dyDescent="0.25">
      <c r="A93" s="70" t="s">
        <v>144</v>
      </c>
      <c r="B93" s="2">
        <v>-855</v>
      </c>
      <c r="C93" s="79"/>
      <c r="D93" s="145"/>
      <c r="E93" s="117"/>
    </row>
    <row r="94" spans="1:5" x14ac:dyDescent="0.25">
      <c r="A94" s="70" t="s">
        <v>145</v>
      </c>
      <c r="B94" s="2">
        <v>244</v>
      </c>
      <c r="C94" s="79"/>
      <c r="D94" s="145"/>
      <c r="E94" s="117"/>
    </row>
    <row r="95" spans="1:5" x14ac:dyDescent="0.25">
      <c r="A95" s="70" t="s">
        <v>146</v>
      </c>
      <c r="B95" s="2">
        <v>-290</v>
      </c>
      <c r="C95" s="79"/>
      <c r="D95" s="145"/>
      <c r="E95" s="117"/>
    </row>
    <row r="96" spans="1:5" x14ac:dyDescent="0.25">
      <c r="A96" s="70" t="s">
        <v>147</v>
      </c>
      <c r="B96" s="2">
        <v>812</v>
      </c>
      <c r="C96" s="79"/>
      <c r="D96" s="145"/>
      <c r="E96" s="117"/>
    </row>
    <row r="97" spans="1:11" x14ac:dyDescent="0.25">
      <c r="A97" s="70" t="s">
        <v>148</v>
      </c>
      <c r="B97" s="2">
        <v>-6305</v>
      </c>
      <c r="C97" s="79"/>
      <c r="D97" s="145"/>
      <c r="E97" s="117"/>
    </row>
    <row r="98" spans="1:11" x14ac:dyDescent="0.25">
      <c r="A98" s="70" t="s">
        <v>112</v>
      </c>
      <c r="B98" s="2">
        <v>-1864</v>
      </c>
      <c r="C98" s="79"/>
      <c r="D98" s="145"/>
      <c r="E98" s="117"/>
    </row>
    <row r="99" spans="1:11" x14ac:dyDescent="0.25">
      <c r="A99" s="70" t="s">
        <v>115</v>
      </c>
      <c r="B99" s="2">
        <v>204</v>
      </c>
      <c r="C99" s="79"/>
      <c r="D99" s="145"/>
      <c r="E99" s="117"/>
    </row>
    <row r="100" spans="1:11" x14ac:dyDescent="0.25">
      <c r="A100" s="70" t="s">
        <v>97</v>
      </c>
      <c r="B100" s="2">
        <v>0</v>
      </c>
      <c r="C100" s="79"/>
      <c r="D100" s="145"/>
      <c r="E100" s="117"/>
    </row>
    <row r="101" spans="1:11" x14ac:dyDescent="0.25">
      <c r="A101" s="70" t="s">
        <v>128</v>
      </c>
      <c r="B101" s="2">
        <v>0</v>
      </c>
      <c r="C101" s="79"/>
      <c r="D101" s="145"/>
      <c r="E101" s="117"/>
    </row>
    <row r="102" spans="1:11" x14ac:dyDescent="0.25">
      <c r="A102" s="71" t="s">
        <v>69</v>
      </c>
      <c r="B102" s="69"/>
      <c r="C102" s="69">
        <f>SUM(B44:B101)</f>
        <v>-18435</v>
      </c>
      <c r="D102" s="146">
        <f>SUM(D44:D101)</f>
        <v>3447</v>
      </c>
      <c r="E102" s="117"/>
    </row>
    <row r="103" spans="1:11" x14ac:dyDescent="0.25">
      <c r="A103" s="70"/>
      <c r="C103" s="79"/>
      <c r="D103" s="145"/>
      <c r="E103" s="117"/>
    </row>
    <row r="104" spans="1:11" x14ac:dyDescent="0.25">
      <c r="A104" s="67" t="s">
        <v>159</v>
      </c>
      <c r="C104" s="25"/>
      <c r="D104" s="148"/>
      <c r="E104" s="72"/>
      <c r="G104" s="18"/>
      <c r="K104" s="75"/>
    </row>
    <row r="105" spans="1:11" x14ac:dyDescent="0.25">
      <c r="A105" s="2" t="s">
        <v>161</v>
      </c>
      <c r="B105" s="2">
        <v>16318</v>
      </c>
      <c r="C105" s="25"/>
      <c r="D105" s="145">
        <v>3666</v>
      </c>
      <c r="E105" s="72"/>
      <c r="G105" s="33"/>
      <c r="K105" s="75"/>
    </row>
    <row r="106" spans="1:11" x14ac:dyDescent="0.25">
      <c r="A106" s="2" t="s">
        <v>162</v>
      </c>
      <c r="B106" s="2">
        <v>141590</v>
      </c>
      <c r="C106" s="25"/>
      <c r="D106" s="145">
        <v>-9442</v>
      </c>
      <c r="E106" s="72"/>
      <c r="G106" s="33"/>
    </row>
    <row r="107" spans="1:11" x14ac:dyDescent="0.25">
      <c r="A107" s="2" t="s">
        <v>163</v>
      </c>
      <c r="B107" s="2">
        <v>1241</v>
      </c>
      <c r="C107" s="25"/>
      <c r="D107" s="145"/>
      <c r="E107" s="72"/>
      <c r="G107" s="33"/>
    </row>
    <row r="108" spans="1:11" x14ac:dyDescent="0.25">
      <c r="A108" s="2" t="s">
        <v>164</v>
      </c>
      <c r="B108" s="2">
        <v>-150</v>
      </c>
      <c r="C108" s="25"/>
      <c r="D108" s="145"/>
      <c r="E108" s="72"/>
      <c r="G108" s="33"/>
    </row>
    <row r="109" spans="1:11" x14ac:dyDescent="0.25">
      <c r="A109" s="2" t="s">
        <v>165</v>
      </c>
      <c r="B109" s="2">
        <v>13203</v>
      </c>
      <c r="C109" s="25"/>
      <c r="D109" s="145"/>
      <c r="E109" s="72"/>
      <c r="G109" s="33"/>
    </row>
    <row r="110" spans="1:11" x14ac:dyDescent="0.25">
      <c r="A110" s="2" t="s">
        <v>287</v>
      </c>
      <c r="B110" s="2">
        <v>-2163</v>
      </c>
      <c r="C110" s="25"/>
      <c r="D110" s="145"/>
      <c r="E110" s="72"/>
      <c r="G110" s="33"/>
    </row>
    <row r="111" spans="1:11" x14ac:dyDescent="0.25">
      <c r="A111" s="2" t="s">
        <v>166</v>
      </c>
      <c r="B111" s="2">
        <v>-1412</v>
      </c>
      <c r="C111" s="25"/>
      <c r="D111" s="145"/>
      <c r="E111" s="72"/>
      <c r="G111" s="33"/>
    </row>
    <row r="112" spans="1:11" x14ac:dyDescent="0.25">
      <c r="A112" s="2" t="s">
        <v>288</v>
      </c>
      <c r="B112" s="2">
        <v>0</v>
      </c>
      <c r="C112" s="25"/>
      <c r="D112" s="145"/>
      <c r="E112" s="72"/>
      <c r="G112" s="33"/>
    </row>
    <row r="113" spans="1:8" x14ac:dyDescent="0.25">
      <c r="A113" s="2" t="s">
        <v>167</v>
      </c>
      <c r="B113" s="2">
        <v>1315</v>
      </c>
      <c r="C113" s="25"/>
      <c r="D113" s="145">
        <v>-95</v>
      </c>
      <c r="E113" s="72"/>
      <c r="G113" s="33"/>
    </row>
    <row r="114" spans="1:8" x14ac:dyDescent="0.25">
      <c r="A114" s="2" t="s">
        <v>289</v>
      </c>
      <c r="B114" s="2">
        <v>0</v>
      </c>
      <c r="C114" s="25"/>
      <c r="D114" s="145"/>
      <c r="E114" s="72"/>
      <c r="G114" s="33"/>
      <c r="H114" s="18"/>
    </row>
    <row r="115" spans="1:8" x14ac:dyDescent="0.25">
      <c r="A115" s="2" t="s">
        <v>174</v>
      </c>
      <c r="B115" s="2">
        <v>0</v>
      </c>
      <c r="C115" s="25"/>
      <c r="D115" s="145"/>
      <c r="E115" s="72"/>
      <c r="G115" s="33"/>
      <c r="H115" s="18"/>
    </row>
    <row r="116" spans="1:8" x14ac:dyDescent="0.25">
      <c r="A116" s="2" t="s">
        <v>168</v>
      </c>
      <c r="B116" s="2">
        <v>65862</v>
      </c>
      <c r="C116" s="25"/>
      <c r="D116" s="145">
        <v>256</v>
      </c>
      <c r="E116" s="72"/>
      <c r="G116" s="33"/>
      <c r="H116" s="18"/>
    </row>
    <row r="117" spans="1:8" x14ac:dyDescent="0.25">
      <c r="A117" s="2" t="s">
        <v>169</v>
      </c>
      <c r="B117" s="2">
        <v>21</v>
      </c>
      <c r="C117" s="25"/>
      <c r="D117" s="145"/>
      <c r="E117" s="72"/>
      <c r="G117" s="33"/>
      <c r="H117" s="18"/>
    </row>
    <row r="118" spans="1:8" x14ac:dyDescent="0.25">
      <c r="A118" s="2" t="s">
        <v>170</v>
      </c>
      <c r="B118" s="2">
        <v>9003</v>
      </c>
      <c r="C118" s="25"/>
      <c r="D118" s="145">
        <v>490</v>
      </c>
      <c r="E118" s="72"/>
      <c r="G118" s="33"/>
      <c r="H118" s="18"/>
    </row>
    <row r="119" spans="1:8" x14ac:dyDescent="0.25">
      <c r="A119" s="2" t="s">
        <v>171</v>
      </c>
      <c r="B119" s="2">
        <v>7200</v>
      </c>
      <c r="C119" s="25"/>
      <c r="D119" s="145"/>
      <c r="E119" s="72"/>
      <c r="G119" s="33"/>
      <c r="H119" s="18"/>
    </row>
    <row r="120" spans="1:8" x14ac:dyDescent="0.25">
      <c r="A120" s="2" t="s">
        <v>172</v>
      </c>
      <c r="B120" s="2">
        <v>8887</v>
      </c>
      <c r="C120" s="25"/>
      <c r="D120" s="145">
        <v>150</v>
      </c>
      <c r="E120" s="72"/>
      <c r="G120" s="33"/>
      <c r="H120" s="18"/>
    </row>
    <row r="121" spans="1:8" x14ac:dyDescent="0.25">
      <c r="A121" s="71" t="s">
        <v>69</v>
      </c>
      <c r="B121" s="82"/>
      <c r="C121" s="143">
        <f>SUM(B105:B120)</f>
        <v>260915</v>
      </c>
      <c r="D121" s="149">
        <f>SUM(D105:D120)</f>
        <v>-4975</v>
      </c>
      <c r="E121" s="72"/>
      <c r="G121" s="18"/>
      <c r="H121" s="18"/>
    </row>
    <row r="122" spans="1:8" x14ac:dyDescent="0.25">
      <c r="A122" s="71"/>
      <c r="B122" s="1"/>
      <c r="C122" s="133"/>
      <c r="D122" s="150"/>
      <c r="E122" s="72"/>
      <c r="G122" s="18"/>
      <c r="H122" s="18"/>
    </row>
    <row r="123" spans="1:8" x14ac:dyDescent="0.25">
      <c r="A123" t="s">
        <v>174</v>
      </c>
      <c r="B123" s="72">
        <v>4950</v>
      </c>
      <c r="C123" s="72"/>
      <c r="D123" s="145">
        <v>-261</v>
      </c>
      <c r="E123" s="72"/>
      <c r="G123" s="33"/>
      <c r="H123" s="18"/>
    </row>
    <row r="124" spans="1:8" x14ac:dyDescent="0.25">
      <c r="A124" s="71" t="s">
        <v>175</v>
      </c>
      <c r="B124" s="73"/>
      <c r="C124" s="73">
        <f>B123</f>
        <v>4950</v>
      </c>
      <c r="D124" s="147">
        <f>SUM(D123)</f>
        <v>-261</v>
      </c>
      <c r="E124" s="72"/>
      <c r="G124" s="33"/>
      <c r="H124" s="18"/>
    </row>
    <row r="125" spans="1:8" x14ac:dyDescent="0.25">
      <c r="A125" s="71"/>
      <c r="B125" s="81"/>
      <c r="C125" s="81"/>
      <c r="D125" s="145"/>
      <c r="E125" s="72"/>
      <c r="G125" s="33"/>
      <c r="H125" s="18"/>
    </row>
    <row r="126" spans="1:8" x14ac:dyDescent="0.25">
      <c r="A126" t="s">
        <v>289</v>
      </c>
      <c r="B126" s="81">
        <v>6852</v>
      </c>
      <c r="C126" s="81"/>
      <c r="D126" s="145">
        <v>9424</v>
      </c>
      <c r="E126" s="72"/>
      <c r="G126" s="33"/>
      <c r="H126" s="18"/>
    </row>
    <row r="127" spans="1:8" x14ac:dyDescent="0.25">
      <c r="A127" s="71" t="s">
        <v>82</v>
      </c>
      <c r="B127" s="73"/>
      <c r="C127" s="73">
        <f>B126</f>
        <v>6852</v>
      </c>
      <c r="D127" s="147">
        <f>SUM(D126)</f>
        <v>9424</v>
      </c>
      <c r="E127" s="72"/>
      <c r="G127" s="33"/>
      <c r="H127" s="18"/>
    </row>
    <row r="128" spans="1:8" x14ac:dyDescent="0.25">
      <c r="A128" s="71"/>
      <c r="B128" s="81"/>
      <c r="C128" s="81"/>
      <c r="D128" s="145"/>
      <c r="E128" s="72"/>
      <c r="G128" s="33"/>
      <c r="H128" s="18"/>
    </row>
    <row r="129" spans="1:8" x14ac:dyDescent="0.25">
      <c r="A129" t="s">
        <v>177</v>
      </c>
      <c r="B129" s="72">
        <v>-324562</v>
      </c>
      <c r="C129" s="81"/>
      <c r="D129" s="145">
        <v>-36396</v>
      </c>
      <c r="E129" s="72"/>
      <c r="G129" s="33"/>
      <c r="H129" s="18"/>
    </row>
    <row r="130" spans="1:8" x14ac:dyDescent="0.25">
      <c r="A130" s="2" t="s">
        <v>162</v>
      </c>
      <c r="B130" s="72">
        <v>-39998</v>
      </c>
      <c r="C130" s="72"/>
      <c r="D130" s="145"/>
      <c r="E130" s="72"/>
      <c r="G130" s="33"/>
      <c r="H130" s="18"/>
    </row>
    <row r="131" spans="1:8" x14ac:dyDescent="0.25">
      <c r="A131" s="71" t="s">
        <v>178</v>
      </c>
      <c r="B131" s="73"/>
      <c r="C131" s="73">
        <f>SUM(B129:B130)</f>
        <v>-364560</v>
      </c>
      <c r="D131" s="147">
        <f>SUM(D129:D130)</f>
        <v>-36396</v>
      </c>
      <c r="E131" s="72"/>
      <c r="G131" s="33"/>
      <c r="H131" s="18"/>
    </row>
    <row r="132" spans="1:8" x14ac:dyDescent="0.25">
      <c r="A132" s="71"/>
      <c r="B132" s="81"/>
      <c r="C132" s="81"/>
      <c r="D132" s="33"/>
      <c r="G132" s="33"/>
      <c r="H132" s="18"/>
    </row>
    <row r="133" spans="1:8" x14ac:dyDescent="0.25">
      <c r="A133" s="71"/>
      <c r="B133" s="81"/>
      <c r="C133" s="81"/>
      <c r="G133" s="33"/>
      <c r="H133" s="18"/>
    </row>
    <row r="134" spans="1:8" x14ac:dyDescent="0.25">
      <c r="C134" s="72"/>
    </row>
    <row r="135" spans="1:8" x14ac:dyDescent="0.25">
      <c r="C135" s="72"/>
    </row>
    <row r="136" spans="1:8" x14ac:dyDescent="0.25">
      <c r="C136" s="72"/>
    </row>
    <row r="137" spans="1:8" x14ac:dyDescent="0.25">
      <c r="C137" s="72"/>
    </row>
    <row r="138" spans="1:8" x14ac:dyDescent="0.25">
      <c r="C138" s="72"/>
    </row>
  </sheetData>
  <mergeCells count="1">
    <mergeCell ref="D5:J5"/>
  </mergeCells>
  <printOptions horizontalCentered="1"/>
  <pageMargins left="0.5" right="0.5" top="0.5" bottom="0.5" header="0.3" footer="0.3"/>
  <pageSetup scale="82" fitToHeight="0" orientation="landscape" r:id="rId1"/>
  <headerFooter>
    <oddFooter>&amp;L&amp;8&amp;D&amp;C&amp;8&amp;P&amp;R&amp;8&amp;A</oddFooter>
  </headerFooter>
  <ignoredErrors>
    <ignoredError sqref="J15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31D9-C9BA-4160-A8C5-A9102A31D3E4}">
  <sheetPr>
    <tabColor theme="0" tint="-0.34998626667073579"/>
    <pageSetUpPr fitToPage="1"/>
  </sheetPr>
  <dimension ref="A4:J139"/>
  <sheetViews>
    <sheetView workbookViewId="0">
      <selection activeCell="N12" sqref="N12"/>
    </sheetView>
  </sheetViews>
  <sheetFormatPr defaultRowHeight="15" x14ac:dyDescent="0.25"/>
  <cols>
    <col min="1" max="1" width="40.5703125" bestFit="1" customWidth="1"/>
    <col min="2" max="10" width="12.7109375" customWidth="1"/>
  </cols>
  <sheetData>
    <row r="4" spans="1:10" x14ac:dyDescent="0.25">
      <c r="J4" s="76" t="str">
        <f>+'Attachment A - Base'!I3</f>
        <v>BPA #25-01</v>
      </c>
    </row>
    <row r="5" spans="1:10" ht="18.75" x14ac:dyDescent="0.3">
      <c r="A5" s="3" t="s">
        <v>290</v>
      </c>
      <c r="B5" s="25"/>
      <c r="C5" s="25"/>
      <c r="D5" s="25"/>
    </row>
    <row r="6" spans="1:10" ht="15.75" x14ac:dyDescent="0.25">
      <c r="A6" s="17">
        <f>+'Attachment A - Base'!A4</f>
        <v>45881</v>
      </c>
      <c r="B6" s="25"/>
      <c r="C6" s="25"/>
      <c r="D6" s="25"/>
    </row>
    <row r="9" spans="1:10" x14ac:dyDescent="0.25">
      <c r="A9" s="2"/>
      <c r="B9" s="101">
        <v>-1</v>
      </c>
      <c r="C9" s="177">
        <v>-2</v>
      </c>
      <c r="D9" s="178"/>
      <c r="E9" s="177">
        <v>-3</v>
      </c>
      <c r="F9" s="179"/>
      <c r="G9" s="179"/>
      <c r="H9" s="179"/>
      <c r="I9" s="179"/>
      <c r="J9" s="19"/>
    </row>
    <row r="10" spans="1:10" ht="60.75" thickBot="1" x14ac:dyDescent="0.3">
      <c r="A10" s="4"/>
      <c r="B10" s="5" t="s">
        <v>291</v>
      </c>
      <c r="C10" s="5" t="s">
        <v>292</v>
      </c>
      <c r="D10" s="5" t="s">
        <v>293</v>
      </c>
      <c r="E10" s="5" t="s">
        <v>294</v>
      </c>
      <c r="F10" s="5" t="s">
        <v>295</v>
      </c>
      <c r="G10" s="5" t="s">
        <v>296</v>
      </c>
      <c r="H10" s="5" t="s">
        <v>297</v>
      </c>
      <c r="I10" s="5" t="s">
        <v>298</v>
      </c>
      <c r="J10" s="20" t="s">
        <v>299</v>
      </c>
    </row>
    <row r="11" spans="1:10" x14ac:dyDescent="0.25">
      <c r="A11" s="14"/>
      <c r="B11" s="16"/>
      <c r="C11" s="16"/>
      <c r="D11" s="16"/>
      <c r="E11" s="16"/>
      <c r="F11" s="16"/>
      <c r="G11" s="16"/>
      <c r="H11" s="16"/>
      <c r="I11" s="16"/>
      <c r="J11" s="21"/>
    </row>
    <row r="12" spans="1:10" x14ac:dyDescent="0.25">
      <c r="A12" s="2" t="s">
        <v>17</v>
      </c>
      <c r="B12" s="2">
        <v>35000</v>
      </c>
      <c r="C12" s="2"/>
      <c r="D12" s="2"/>
      <c r="E12" s="2"/>
      <c r="F12" s="2"/>
      <c r="G12" s="2"/>
      <c r="H12" s="2"/>
      <c r="I12" s="2"/>
      <c r="J12" s="22">
        <f t="shared" ref="J12:J17" si="0">SUM(B12:I12)</f>
        <v>35000</v>
      </c>
    </row>
    <row r="13" spans="1:10" x14ac:dyDescent="0.25">
      <c r="A13" s="2" t="s">
        <v>18</v>
      </c>
      <c r="B13" s="2">
        <v>1924442</v>
      </c>
      <c r="C13" s="2"/>
      <c r="D13" s="2"/>
      <c r="E13" s="2"/>
      <c r="F13" s="2"/>
      <c r="G13" s="2"/>
      <c r="H13" s="2">
        <v>13021.34</v>
      </c>
      <c r="I13" s="2"/>
      <c r="J13" s="22">
        <f t="shared" si="0"/>
        <v>1937463.34</v>
      </c>
    </row>
    <row r="14" spans="1:10" x14ac:dyDescent="0.25">
      <c r="A14" s="2" t="s">
        <v>19</v>
      </c>
      <c r="B14" s="2">
        <v>845648</v>
      </c>
      <c r="C14" s="2">
        <v>117519.36</v>
      </c>
      <c r="D14" s="2"/>
      <c r="E14" s="2">
        <v>37677.5</v>
      </c>
      <c r="F14" s="2">
        <v>18838.75</v>
      </c>
      <c r="G14" s="2">
        <v>57866.18</v>
      </c>
      <c r="H14" s="2"/>
      <c r="I14" s="2"/>
      <c r="J14" s="22">
        <f t="shared" si="0"/>
        <v>1077549.79</v>
      </c>
    </row>
    <row r="15" spans="1:10" x14ac:dyDescent="0.25">
      <c r="A15" s="2" t="s">
        <v>20</v>
      </c>
      <c r="B15" s="2">
        <v>228256</v>
      </c>
      <c r="C15" s="2">
        <v>41369.9</v>
      </c>
      <c r="D15" s="2"/>
      <c r="E15" s="2"/>
      <c r="F15" s="2"/>
      <c r="G15" s="2"/>
      <c r="H15" s="2"/>
      <c r="I15" s="2"/>
      <c r="J15" s="22">
        <f t="shared" si="0"/>
        <v>269625.90000000002</v>
      </c>
    </row>
    <row r="16" spans="1:10" x14ac:dyDescent="0.25">
      <c r="A16" s="2" t="s">
        <v>21</v>
      </c>
      <c r="B16" s="2">
        <v>727468</v>
      </c>
      <c r="C16" s="2"/>
      <c r="D16" s="2"/>
      <c r="E16" s="2"/>
      <c r="F16" s="2"/>
      <c r="G16" s="2"/>
      <c r="H16" s="2"/>
      <c r="I16" s="2">
        <v>150710</v>
      </c>
      <c r="J16" s="22">
        <f t="shared" si="0"/>
        <v>878178</v>
      </c>
    </row>
    <row r="17" spans="1:10" x14ac:dyDescent="0.25">
      <c r="A17" s="2" t="s">
        <v>22</v>
      </c>
      <c r="B17" s="2">
        <v>359092</v>
      </c>
      <c r="C17" s="2"/>
      <c r="D17" s="2">
        <v>65274.65</v>
      </c>
      <c r="E17" s="2"/>
      <c r="F17" s="2"/>
      <c r="G17" s="2"/>
      <c r="H17" s="2"/>
      <c r="I17" s="2"/>
      <c r="J17" s="22">
        <f t="shared" si="0"/>
        <v>424366.65</v>
      </c>
    </row>
    <row r="18" spans="1:10" x14ac:dyDescent="0.25">
      <c r="A18" s="9" t="s">
        <v>23</v>
      </c>
      <c r="B18" s="8">
        <f t="shared" ref="B18:J18" si="1">SUM(B12:B17)</f>
        <v>4119906</v>
      </c>
      <c r="C18" s="8">
        <f t="shared" si="1"/>
        <v>158889.26</v>
      </c>
      <c r="D18" s="8">
        <f t="shared" si="1"/>
        <v>65274.65</v>
      </c>
      <c r="E18" s="8">
        <f t="shared" si="1"/>
        <v>37677.5</v>
      </c>
      <c r="F18" s="8">
        <f t="shared" si="1"/>
        <v>18838.75</v>
      </c>
      <c r="G18" s="8">
        <f t="shared" si="1"/>
        <v>57866.18</v>
      </c>
      <c r="H18" s="8">
        <f t="shared" si="1"/>
        <v>13021.34</v>
      </c>
      <c r="I18" s="8">
        <f t="shared" si="1"/>
        <v>150710</v>
      </c>
      <c r="J18" s="23">
        <f t="shared" si="1"/>
        <v>4622183.68</v>
      </c>
    </row>
    <row r="19" spans="1:10" x14ac:dyDescent="0.25">
      <c r="A19" s="2" t="s">
        <v>24</v>
      </c>
      <c r="B19" s="18"/>
      <c r="C19" s="18"/>
      <c r="D19" s="1"/>
      <c r="E19" s="1"/>
      <c r="F19" s="1"/>
      <c r="G19" s="1"/>
      <c r="H19" s="1"/>
      <c r="I19" s="1"/>
      <c r="J19" s="22">
        <f>SUM(B19:I19)</f>
        <v>0</v>
      </c>
    </row>
    <row r="20" spans="1:10" x14ac:dyDescent="0.25">
      <c r="A20" s="2" t="s">
        <v>25</v>
      </c>
      <c r="B20" s="2">
        <v>-4119906</v>
      </c>
      <c r="C20" s="2">
        <v>-158889.26</v>
      </c>
      <c r="D20" s="2">
        <v>-65274.65</v>
      </c>
      <c r="E20" s="2">
        <v>-37677.5</v>
      </c>
      <c r="F20" s="2">
        <v>-18838.75</v>
      </c>
      <c r="G20" s="2">
        <v>-57866.18</v>
      </c>
      <c r="H20" s="2">
        <v>-13021.34</v>
      </c>
      <c r="I20" s="2">
        <v>-150710</v>
      </c>
      <c r="J20" s="22">
        <f>SUM(B20:I20)</f>
        <v>-4622183.68</v>
      </c>
    </row>
    <row r="21" spans="1:10" ht="15.75" thickBot="1" x14ac:dyDescent="0.3">
      <c r="A21" s="10" t="s">
        <v>26</v>
      </c>
      <c r="B21" s="11">
        <f>SUM(B18:B20)</f>
        <v>0</v>
      </c>
      <c r="C21" s="11">
        <f t="shared" ref="C21:I21" si="2">SUM(C18:C20)</f>
        <v>0</v>
      </c>
      <c r="D21" s="11">
        <f t="shared" si="2"/>
        <v>0</v>
      </c>
      <c r="E21" s="11">
        <f t="shared" si="2"/>
        <v>0</v>
      </c>
      <c r="F21" s="11">
        <f t="shared" si="2"/>
        <v>0</v>
      </c>
      <c r="G21" s="11">
        <f t="shared" si="2"/>
        <v>0</v>
      </c>
      <c r="H21" s="11">
        <f t="shared" si="2"/>
        <v>0</v>
      </c>
      <c r="I21" s="11">
        <f t="shared" si="2"/>
        <v>0</v>
      </c>
      <c r="J21" s="24">
        <f>SUM(J18:J20)</f>
        <v>0</v>
      </c>
    </row>
    <row r="22" spans="1:10" x14ac:dyDescent="0.25">
      <c r="A22" s="2" t="s">
        <v>300</v>
      </c>
    </row>
    <row r="23" spans="1:10" x14ac:dyDescent="0.25">
      <c r="A23" s="2" t="s">
        <v>301</v>
      </c>
    </row>
    <row r="24" spans="1:10" x14ac:dyDescent="0.25">
      <c r="A24" s="2" t="s">
        <v>302</v>
      </c>
    </row>
    <row r="27" spans="1:10" x14ac:dyDescent="0.25">
      <c r="A27" s="12" t="s">
        <v>303</v>
      </c>
      <c r="B27" s="2"/>
      <c r="C27" s="2"/>
      <c r="D27" s="1"/>
      <c r="E27" s="1"/>
    </row>
    <row r="28" spans="1:10" x14ac:dyDescent="0.25">
      <c r="A28" s="100" t="s">
        <v>304</v>
      </c>
      <c r="B28" s="101" t="s">
        <v>305</v>
      </c>
      <c r="C28" s="100" t="s">
        <v>306</v>
      </c>
      <c r="D28" s="100" t="s">
        <v>307</v>
      </c>
      <c r="E28" s="100" t="s">
        <v>308</v>
      </c>
    </row>
    <row r="29" spans="1:10" x14ac:dyDescent="0.25">
      <c r="A29" t="s">
        <v>309</v>
      </c>
      <c r="B29" t="s">
        <v>291</v>
      </c>
      <c r="C29" s="156">
        <v>16920</v>
      </c>
      <c r="D29" t="s">
        <v>310</v>
      </c>
      <c r="E29" s="155">
        <v>45762</v>
      </c>
    </row>
    <row r="30" spans="1:10" x14ac:dyDescent="0.25">
      <c r="A30" t="s">
        <v>309</v>
      </c>
      <c r="B30" t="s">
        <v>291</v>
      </c>
      <c r="C30" s="156">
        <v>20100</v>
      </c>
      <c r="D30" t="s">
        <v>310</v>
      </c>
      <c r="E30" s="155">
        <v>81857</v>
      </c>
    </row>
    <row r="31" spans="1:10" x14ac:dyDescent="0.25">
      <c r="A31" t="s">
        <v>309</v>
      </c>
      <c r="B31" t="s">
        <v>291</v>
      </c>
      <c r="C31" s="156">
        <v>20120</v>
      </c>
      <c r="D31" t="s">
        <v>310</v>
      </c>
      <c r="E31" s="155">
        <v>17500</v>
      </c>
    </row>
    <row r="32" spans="1:10" x14ac:dyDescent="0.25">
      <c r="A32" t="s">
        <v>309</v>
      </c>
      <c r="B32" t="s">
        <v>291</v>
      </c>
      <c r="C32" s="156">
        <v>20400</v>
      </c>
      <c r="D32" t="s">
        <v>310</v>
      </c>
      <c r="E32" s="155">
        <v>35000</v>
      </c>
    </row>
    <row r="33" spans="1:5" x14ac:dyDescent="0.25">
      <c r="A33" t="s">
        <v>309</v>
      </c>
      <c r="B33" t="s">
        <v>291</v>
      </c>
      <c r="C33" s="156">
        <v>22700</v>
      </c>
      <c r="D33" t="s">
        <v>311</v>
      </c>
      <c r="E33" s="155">
        <v>59598</v>
      </c>
    </row>
    <row r="34" spans="1:5" x14ac:dyDescent="0.25">
      <c r="A34" t="s">
        <v>309</v>
      </c>
      <c r="B34" t="s">
        <v>291</v>
      </c>
      <c r="C34" s="156">
        <v>22900</v>
      </c>
      <c r="D34" t="s">
        <v>310</v>
      </c>
      <c r="E34" s="155">
        <v>35000</v>
      </c>
    </row>
    <row r="35" spans="1:5" x14ac:dyDescent="0.25">
      <c r="A35" t="s">
        <v>309</v>
      </c>
      <c r="B35" t="s">
        <v>291</v>
      </c>
      <c r="C35" s="156">
        <v>23000</v>
      </c>
      <c r="D35" t="s">
        <v>310</v>
      </c>
      <c r="E35" s="155">
        <v>47754</v>
      </c>
    </row>
    <row r="36" spans="1:5" x14ac:dyDescent="0.25">
      <c r="A36" t="s">
        <v>309</v>
      </c>
      <c r="B36" t="s">
        <v>291</v>
      </c>
      <c r="C36" s="156">
        <v>23300</v>
      </c>
      <c r="D36" t="s">
        <v>310</v>
      </c>
      <c r="E36" s="155">
        <v>93732</v>
      </c>
    </row>
    <row r="37" spans="1:5" x14ac:dyDescent="0.25">
      <c r="A37" t="s">
        <v>309</v>
      </c>
      <c r="B37" t="s">
        <v>291</v>
      </c>
      <c r="C37" s="156">
        <v>27400</v>
      </c>
      <c r="D37" t="s">
        <v>310</v>
      </c>
      <c r="E37" s="155">
        <v>67836</v>
      </c>
    </row>
    <row r="38" spans="1:5" x14ac:dyDescent="0.25">
      <c r="A38" t="s">
        <v>309</v>
      </c>
      <c r="B38" t="s">
        <v>291</v>
      </c>
      <c r="C38" s="156">
        <v>29100</v>
      </c>
      <c r="D38" t="s">
        <v>310</v>
      </c>
      <c r="E38" s="155">
        <v>17500</v>
      </c>
    </row>
    <row r="39" spans="1:5" x14ac:dyDescent="0.25">
      <c r="A39" t="s">
        <v>312</v>
      </c>
      <c r="B39" t="s">
        <v>291</v>
      </c>
      <c r="C39" s="156">
        <v>29720</v>
      </c>
      <c r="D39" t="s">
        <v>310</v>
      </c>
      <c r="E39" s="155">
        <v>35000</v>
      </c>
    </row>
    <row r="40" spans="1:5" x14ac:dyDescent="0.25">
      <c r="A40" t="s">
        <v>309</v>
      </c>
      <c r="B40" t="s">
        <v>291</v>
      </c>
      <c r="C40" s="156">
        <v>30400</v>
      </c>
      <c r="D40" t="s">
        <v>310</v>
      </c>
      <c r="E40" s="155">
        <v>114612</v>
      </c>
    </row>
    <row r="41" spans="1:5" x14ac:dyDescent="0.25">
      <c r="A41" t="s">
        <v>309</v>
      </c>
      <c r="B41" t="s">
        <v>291</v>
      </c>
      <c r="C41" s="156">
        <v>30600</v>
      </c>
      <c r="D41" t="s">
        <v>310</v>
      </c>
      <c r="E41" s="155">
        <v>54480</v>
      </c>
    </row>
    <row r="42" spans="1:5" x14ac:dyDescent="0.25">
      <c r="A42" t="s">
        <v>309</v>
      </c>
      <c r="B42" t="s">
        <v>291</v>
      </c>
      <c r="C42" s="156">
        <v>31600</v>
      </c>
      <c r="D42" t="s">
        <v>310</v>
      </c>
      <c r="E42" s="155">
        <v>45417</v>
      </c>
    </row>
    <row r="43" spans="1:5" x14ac:dyDescent="0.25">
      <c r="A43" t="s">
        <v>309</v>
      </c>
      <c r="B43" t="s">
        <v>291</v>
      </c>
      <c r="C43" s="156">
        <v>33000</v>
      </c>
      <c r="D43" t="s">
        <v>310</v>
      </c>
      <c r="E43" s="155">
        <v>35000</v>
      </c>
    </row>
    <row r="44" spans="1:5" x14ac:dyDescent="0.25">
      <c r="A44" t="s">
        <v>313</v>
      </c>
      <c r="B44" t="s">
        <v>291</v>
      </c>
      <c r="C44" s="156">
        <v>34200</v>
      </c>
      <c r="D44" t="s">
        <v>310</v>
      </c>
      <c r="E44" s="155">
        <v>35000</v>
      </c>
    </row>
    <row r="45" spans="1:5" x14ac:dyDescent="0.25">
      <c r="A45" t="s">
        <v>313</v>
      </c>
      <c r="B45" t="s">
        <v>291</v>
      </c>
      <c r="C45" s="156">
        <v>34710</v>
      </c>
      <c r="D45" t="s">
        <v>310</v>
      </c>
      <c r="E45" s="155">
        <v>56082</v>
      </c>
    </row>
    <row r="46" spans="1:5" x14ac:dyDescent="0.25">
      <c r="A46" t="s">
        <v>313</v>
      </c>
      <c r="B46" t="s">
        <v>291</v>
      </c>
      <c r="C46" s="156">
        <v>34721</v>
      </c>
      <c r="D46" t="s">
        <v>310</v>
      </c>
      <c r="E46" s="155">
        <v>35000</v>
      </c>
    </row>
    <row r="47" spans="1:5" x14ac:dyDescent="0.25">
      <c r="A47" t="s">
        <v>313</v>
      </c>
      <c r="B47" t="s">
        <v>291</v>
      </c>
      <c r="C47" s="156">
        <v>34730</v>
      </c>
      <c r="D47" t="s">
        <v>310</v>
      </c>
      <c r="E47" s="155">
        <v>47598</v>
      </c>
    </row>
    <row r="48" spans="1:5" x14ac:dyDescent="0.25">
      <c r="A48" t="s">
        <v>313</v>
      </c>
      <c r="B48" t="s">
        <v>291</v>
      </c>
      <c r="C48" s="156">
        <v>34731</v>
      </c>
      <c r="D48" t="s">
        <v>310</v>
      </c>
      <c r="E48" s="155">
        <v>54576</v>
      </c>
    </row>
    <row r="49" spans="1:5" x14ac:dyDescent="0.25">
      <c r="A49" t="s">
        <v>309</v>
      </c>
      <c r="B49" t="s">
        <v>291</v>
      </c>
      <c r="C49" s="156">
        <v>36200</v>
      </c>
      <c r="D49" t="s">
        <v>310</v>
      </c>
      <c r="E49" s="155">
        <v>35000</v>
      </c>
    </row>
    <row r="50" spans="1:5" x14ac:dyDescent="0.25">
      <c r="A50" t="s">
        <v>309</v>
      </c>
      <c r="B50" t="s">
        <v>291</v>
      </c>
      <c r="C50" s="156">
        <v>41300</v>
      </c>
      <c r="D50" t="s">
        <v>310</v>
      </c>
      <c r="E50" s="155">
        <v>35000</v>
      </c>
    </row>
    <row r="51" spans="1:5" x14ac:dyDescent="0.25">
      <c r="A51" t="s">
        <v>309</v>
      </c>
      <c r="B51" t="s">
        <v>291</v>
      </c>
      <c r="C51" s="156">
        <v>41400</v>
      </c>
      <c r="D51" t="s">
        <v>311</v>
      </c>
      <c r="E51" s="155">
        <v>46074</v>
      </c>
    </row>
    <row r="52" spans="1:5" x14ac:dyDescent="0.25">
      <c r="A52" t="s">
        <v>309</v>
      </c>
      <c r="B52" t="s">
        <v>291</v>
      </c>
      <c r="C52" s="156">
        <v>41600</v>
      </c>
      <c r="D52" t="s">
        <v>310</v>
      </c>
      <c r="E52" s="155">
        <v>35000</v>
      </c>
    </row>
    <row r="53" spans="1:5" x14ac:dyDescent="0.25">
      <c r="A53" t="s">
        <v>309</v>
      </c>
      <c r="B53" t="s">
        <v>291</v>
      </c>
      <c r="C53" s="156">
        <v>41800</v>
      </c>
      <c r="D53" t="s">
        <v>310</v>
      </c>
      <c r="E53" s="155">
        <v>35000</v>
      </c>
    </row>
    <row r="54" spans="1:5" x14ac:dyDescent="0.25">
      <c r="A54" t="s">
        <v>309</v>
      </c>
      <c r="B54" t="s">
        <v>291</v>
      </c>
      <c r="C54" s="156">
        <v>44800</v>
      </c>
      <c r="D54" t="s">
        <v>310</v>
      </c>
      <c r="E54" s="155">
        <v>58284</v>
      </c>
    </row>
    <row r="55" spans="1:5" x14ac:dyDescent="0.25">
      <c r="A55" t="s">
        <v>309</v>
      </c>
      <c r="B55" t="s">
        <v>291</v>
      </c>
      <c r="C55" s="156">
        <v>44800</v>
      </c>
      <c r="D55" t="s">
        <v>311</v>
      </c>
      <c r="E55" s="155">
        <v>31436</v>
      </c>
    </row>
    <row r="56" spans="1:5" x14ac:dyDescent="0.25">
      <c r="A56" t="s">
        <v>309</v>
      </c>
      <c r="B56" t="s">
        <v>291</v>
      </c>
      <c r="C56" s="156">
        <v>44900</v>
      </c>
      <c r="D56" t="s">
        <v>311</v>
      </c>
      <c r="E56" s="155">
        <v>62082</v>
      </c>
    </row>
    <row r="57" spans="1:5" x14ac:dyDescent="0.25">
      <c r="A57" t="s">
        <v>309</v>
      </c>
      <c r="B57" t="s">
        <v>291</v>
      </c>
      <c r="C57" s="156">
        <v>45000</v>
      </c>
      <c r="D57" t="s">
        <v>310</v>
      </c>
      <c r="E57" s="155">
        <v>101894</v>
      </c>
    </row>
    <row r="58" spans="1:5" x14ac:dyDescent="0.25">
      <c r="A58" t="s">
        <v>309</v>
      </c>
      <c r="B58" t="s">
        <v>291</v>
      </c>
      <c r="C58" s="156">
        <v>48800</v>
      </c>
      <c r="D58" t="s">
        <v>310</v>
      </c>
      <c r="E58" s="155">
        <v>62082</v>
      </c>
    </row>
    <row r="59" spans="1:5" x14ac:dyDescent="0.25">
      <c r="A59" t="s">
        <v>309</v>
      </c>
      <c r="B59" t="s">
        <v>291</v>
      </c>
      <c r="C59" s="156">
        <v>49900</v>
      </c>
      <c r="D59" t="s">
        <v>310</v>
      </c>
      <c r="E59" s="155">
        <v>44970</v>
      </c>
    </row>
    <row r="60" spans="1:5" x14ac:dyDescent="0.25">
      <c r="A60" t="s">
        <v>309</v>
      </c>
      <c r="B60" t="s">
        <v>291</v>
      </c>
      <c r="C60" s="156">
        <v>50000</v>
      </c>
      <c r="D60" t="s">
        <v>310</v>
      </c>
      <c r="E60" s="155">
        <v>63732</v>
      </c>
    </row>
    <row r="61" spans="1:5" x14ac:dyDescent="0.25">
      <c r="A61" t="s">
        <v>309</v>
      </c>
      <c r="B61" t="s">
        <v>291</v>
      </c>
      <c r="C61" s="156">
        <v>50300</v>
      </c>
      <c r="D61" t="s">
        <v>311</v>
      </c>
      <c r="E61" s="155">
        <v>18354</v>
      </c>
    </row>
    <row r="62" spans="1:5" x14ac:dyDescent="0.25">
      <c r="A62" t="s">
        <v>309</v>
      </c>
      <c r="B62" t="s">
        <v>291</v>
      </c>
      <c r="C62" s="156">
        <v>50400</v>
      </c>
      <c r="D62" t="s">
        <v>310</v>
      </c>
      <c r="E62" s="155">
        <v>35000</v>
      </c>
    </row>
    <row r="63" spans="1:5" x14ac:dyDescent="0.25">
      <c r="A63" t="s">
        <v>309</v>
      </c>
      <c r="B63" t="s">
        <v>291</v>
      </c>
      <c r="C63" s="156">
        <v>50700</v>
      </c>
      <c r="D63" t="s">
        <v>310</v>
      </c>
      <c r="E63" s="155">
        <v>75000</v>
      </c>
    </row>
    <row r="64" spans="1:5" x14ac:dyDescent="0.25">
      <c r="A64" t="s">
        <v>309</v>
      </c>
      <c r="B64" t="s">
        <v>291</v>
      </c>
      <c r="C64" s="156">
        <v>51000</v>
      </c>
      <c r="D64" t="s">
        <v>310</v>
      </c>
      <c r="E64" s="155">
        <v>35000</v>
      </c>
    </row>
    <row r="65" spans="1:5" x14ac:dyDescent="0.25">
      <c r="A65" t="s">
        <v>309</v>
      </c>
      <c r="B65" t="s">
        <v>291</v>
      </c>
      <c r="C65" s="156">
        <v>54500</v>
      </c>
      <c r="D65" t="s">
        <v>310</v>
      </c>
      <c r="E65" s="155">
        <v>63224</v>
      </c>
    </row>
    <row r="66" spans="1:5" x14ac:dyDescent="0.25">
      <c r="A66" t="s">
        <v>312</v>
      </c>
      <c r="B66" t="s">
        <v>291</v>
      </c>
      <c r="C66" s="156">
        <v>59000</v>
      </c>
      <c r="D66" t="s">
        <v>310</v>
      </c>
      <c r="E66" s="155">
        <v>150000</v>
      </c>
    </row>
    <row r="67" spans="1:5" x14ac:dyDescent="0.25">
      <c r="A67" t="s">
        <v>312</v>
      </c>
      <c r="B67" t="s">
        <v>291</v>
      </c>
      <c r="C67" s="156">
        <v>61800</v>
      </c>
      <c r="D67" t="s">
        <v>310</v>
      </c>
      <c r="E67" s="155">
        <v>76124</v>
      </c>
    </row>
    <row r="68" spans="1:5" x14ac:dyDescent="0.25">
      <c r="A68" t="s">
        <v>312</v>
      </c>
      <c r="B68" t="s">
        <v>291</v>
      </c>
      <c r="C68" s="156">
        <v>61900</v>
      </c>
      <c r="D68" t="s">
        <v>310</v>
      </c>
      <c r="E68" s="155">
        <v>80738</v>
      </c>
    </row>
    <row r="69" spans="1:5" x14ac:dyDescent="0.25">
      <c r="A69" t="s">
        <v>309</v>
      </c>
      <c r="B69" t="s">
        <v>291</v>
      </c>
      <c r="C69" s="156">
        <v>62100</v>
      </c>
      <c r="D69" t="s">
        <v>310</v>
      </c>
      <c r="E69" s="155">
        <v>37026</v>
      </c>
    </row>
    <row r="70" spans="1:5" x14ac:dyDescent="0.25">
      <c r="A70" t="s">
        <v>309</v>
      </c>
      <c r="B70" t="s">
        <v>291</v>
      </c>
      <c r="C70" s="156">
        <v>62300</v>
      </c>
      <c r="D70" t="s">
        <v>310</v>
      </c>
      <c r="E70" s="155">
        <v>71564</v>
      </c>
    </row>
    <row r="71" spans="1:5" x14ac:dyDescent="0.25">
      <c r="A71" t="s">
        <v>312</v>
      </c>
      <c r="B71" t="s">
        <v>291</v>
      </c>
      <c r="C71" s="156">
        <v>62600</v>
      </c>
      <c r="D71" t="s">
        <v>310</v>
      </c>
      <c r="E71" s="155">
        <v>44952</v>
      </c>
    </row>
    <row r="72" spans="1:5" x14ac:dyDescent="0.25">
      <c r="A72" t="s">
        <v>309</v>
      </c>
      <c r="B72" t="s">
        <v>291</v>
      </c>
      <c r="C72" s="156">
        <v>63400</v>
      </c>
      <c r="D72" t="s">
        <v>310</v>
      </c>
      <c r="E72" s="155">
        <v>52500</v>
      </c>
    </row>
    <row r="73" spans="1:5" x14ac:dyDescent="0.25">
      <c r="A73" t="s">
        <v>309</v>
      </c>
      <c r="B73" t="s">
        <v>291</v>
      </c>
      <c r="C73" s="156">
        <v>63600</v>
      </c>
      <c r="D73" t="s">
        <v>310</v>
      </c>
      <c r="E73" s="155">
        <v>105000</v>
      </c>
    </row>
    <row r="74" spans="1:5" x14ac:dyDescent="0.25">
      <c r="A74" t="s">
        <v>309</v>
      </c>
      <c r="B74" t="s">
        <v>291</v>
      </c>
      <c r="C74" s="156">
        <v>63800</v>
      </c>
      <c r="D74" t="s">
        <v>310</v>
      </c>
      <c r="E74" s="155">
        <v>35172</v>
      </c>
    </row>
    <row r="75" spans="1:5" x14ac:dyDescent="0.25">
      <c r="A75" t="s">
        <v>309</v>
      </c>
      <c r="B75" t="s">
        <v>291</v>
      </c>
      <c r="C75" s="156">
        <v>64100</v>
      </c>
      <c r="D75" t="s">
        <v>310</v>
      </c>
      <c r="E75" s="155">
        <v>35000</v>
      </c>
    </row>
    <row r="76" spans="1:5" x14ac:dyDescent="0.25">
      <c r="A76" t="s">
        <v>312</v>
      </c>
      <c r="B76" t="s">
        <v>291</v>
      </c>
      <c r="C76" s="156">
        <v>64200</v>
      </c>
      <c r="D76" t="s">
        <v>310</v>
      </c>
      <c r="E76" s="155">
        <v>37920</v>
      </c>
    </row>
    <row r="77" spans="1:5" x14ac:dyDescent="0.25">
      <c r="A77" t="s">
        <v>312</v>
      </c>
      <c r="B77" t="s">
        <v>291</v>
      </c>
      <c r="C77" s="156">
        <v>64700</v>
      </c>
      <c r="D77" t="s">
        <v>310</v>
      </c>
      <c r="E77" s="155">
        <v>180234</v>
      </c>
    </row>
    <row r="78" spans="1:5" x14ac:dyDescent="0.25">
      <c r="A78" t="s">
        <v>312</v>
      </c>
      <c r="B78" t="s">
        <v>291</v>
      </c>
      <c r="C78" s="156">
        <v>64800</v>
      </c>
      <c r="D78" t="s">
        <v>310</v>
      </c>
      <c r="E78" s="155">
        <v>122500</v>
      </c>
    </row>
    <row r="79" spans="1:5" x14ac:dyDescent="0.25">
      <c r="A79" t="s">
        <v>314</v>
      </c>
      <c r="B79" t="s">
        <v>291</v>
      </c>
      <c r="C79" s="156">
        <v>67700</v>
      </c>
      <c r="D79" t="s">
        <v>310</v>
      </c>
      <c r="E79" s="155">
        <v>54558</v>
      </c>
    </row>
    <row r="80" spans="1:5" x14ac:dyDescent="0.25">
      <c r="A80" t="s">
        <v>314</v>
      </c>
      <c r="B80" t="s">
        <v>291</v>
      </c>
      <c r="C80" s="156">
        <v>67900</v>
      </c>
      <c r="D80" t="s">
        <v>310</v>
      </c>
      <c r="E80" s="155">
        <v>35000</v>
      </c>
    </row>
    <row r="81" spans="1:5" x14ac:dyDescent="0.25">
      <c r="A81" t="s">
        <v>314</v>
      </c>
      <c r="B81" t="s">
        <v>291</v>
      </c>
      <c r="C81" s="156">
        <v>69100</v>
      </c>
      <c r="D81" t="s">
        <v>310</v>
      </c>
      <c r="E81" s="155">
        <v>35000</v>
      </c>
    </row>
    <row r="82" spans="1:5" x14ac:dyDescent="0.25">
      <c r="A82" t="s">
        <v>315</v>
      </c>
      <c r="B82" t="s">
        <v>291</v>
      </c>
      <c r="C82" s="156">
        <v>69730</v>
      </c>
      <c r="D82" t="s">
        <v>310</v>
      </c>
      <c r="E82" s="155">
        <v>35000</v>
      </c>
    </row>
    <row r="83" spans="1:5" x14ac:dyDescent="0.25">
      <c r="A83" t="s">
        <v>314</v>
      </c>
      <c r="B83" t="s">
        <v>291</v>
      </c>
      <c r="C83" s="156">
        <v>70700</v>
      </c>
      <c r="D83" t="s">
        <v>310</v>
      </c>
      <c r="E83" s="155">
        <v>75000</v>
      </c>
    </row>
    <row r="84" spans="1:5" x14ac:dyDescent="0.25">
      <c r="A84" t="s">
        <v>314</v>
      </c>
      <c r="B84" t="s">
        <v>291</v>
      </c>
      <c r="C84" s="156">
        <v>70800</v>
      </c>
      <c r="D84" t="s">
        <v>310</v>
      </c>
      <c r="E84" s="155">
        <v>40746</v>
      </c>
    </row>
    <row r="85" spans="1:5" x14ac:dyDescent="0.25">
      <c r="A85" t="s">
        <v>314</v>
      </c>
      <c r="B85" t="s">
        <v>291</v>
      </c>
      <c r="C85" s="156">
        <v>71100</v>
      </c>
      <c r="D85" t="s">
        <v>310</v>
      </c>
      <c r="E85" s="155">
        <v>45306</v>
      </c>
    </row>
    <row r="86" spans="1:5" x14ac:dyDescent="0.25">
      <c r="A86" t="s">
        <v>314</v>
      </c>
      <c r="B86" t="s">
        <v>291</v>
      </c>
      <c r="C86" s="156">
        <v>71204</v>
      </c>
      <c r="D86" t="s">
        <v>310</v>
      </c>
      <c r="E86" s="155">
        <v>45636</v>
      </c>
    </row>
    <row r="87" spans="1:5" x14ac:dyDescent="0.25">
      <c r="A87" t="s">
        <v>314</v>
      </c>
      <c r="B87" t="s">
        <v>291</v>
      </c>
      <c r="C87" s="156">
        <v>71400</v>
      </c>
      <c r="D87" t="s">
        <v>310</v>
      </c>
      <c r="E87" s="155">
        <v>70000</v>
      </c>
    </row>
    <row r="88" spans="1:5" x14ac:dyDescent="0.25">
      <c r="A88" t="s">
        <v>314</v>
      </c>
      <c r="B88" t="s">
        <v>291</v>
      </c>
      <c r="C88" s="156">
        <v>71501</v>
      </c>
      <c r="D88" t="s">
        <v>310</v>
      </c>
      <c r="E88" s="155">
        <v>37686</v>
      </c>
    </row>
    <row r="89" spans="1:5" x14ac:dyDescent="0.25">
      <c r="A89" t="s">
        <v>314</v>
      </c>
      <c r="B89" t="s">
        <v>291</v>
      </c>
      <c r="C89" s="156">
        <v>71504</v>
      </c>
      <c r="D89" t="s">
        <v>310</v>
      </c>
      <c r="E89" s="155">
        <v>51852</v>
      </c>
    </row>
    <row r="90" spans="1:5" x14ac:dyDescent="0.25">
      <c r="A90" t="s">
        <v>314</v>
      </c>
      <c r="B90" t="s">
        <v>291</v>
      </c>
      <c r="C90" s="156">
        <v>72100</v>
      </c>
      <c r="D90" t="s">
        <v>310</v>
      </c>
      <c r="E90" s="155">
        <v>35000</v>
      </c>
    </row>
    <row r="91" spans="1:5" x14ac:dyDescent="0.25">
      <c r="A91" t="s">
        <v>314</v>
      </c>
      <c r="B91" t="s">
        <v>291</v>
      </c>
      <c r="C91" s="156">
        <v>72400</v>
      </c>
      <c r="D91" t="s">
        <v>310</v>
      </c>
      <c r="E91" s="155">
        <v>75000</v>
      </c>
    </row>
    <row r="92" spans="1:5" x14ac:dyDescent="0.25">
      <c r="A92" t="s">
        <v>314</v>
      </c>
      <c r="B92" t="s">
        <v>291</v>
      </c>
      <c r="C92" s="156">
        <v>72400</v>
      </c>
      <c r="D92" t="s">
        <v>316</v>
      </c>
      <c r="E92" s="155">
        <v>57042</v>
      </c>
    </row>
    <row r="93" spans="1:5" x14ac:dyDescent="0.25">
      <c r="A93" t="s">
        <v>314</v>
      </c>
      <c r="B93" t="s">
        <v>291</v>
      </c>
      <c r="C93" s="156">
        <v>72600</v>
      </c>
      <c r="D93" t="s">
        <v>310</v>
      </c>
      <c r="E93" s="155">
        <v>187822</v>
      </c>
    </row>
    <row r="94" spans="1:5" x14ac:dyDescent="0.25">
      <c r="A94" t="s">
        <v>317</v>
      </c>
      <c r="B94" t="s">
        <v>291</v>
      </c>
      <c r="C94" s="156">
        <v>74310</v>
      </c>
      <c r="D94" t="s">
        <v>310</v>
      </c>
      <c r="E94" s="155">
        <v>75000</v>
      </c>
    </row>
    <row r="95" spans="1:5" x14ac:dyDescent="0.25">
      <c r="A95" t="s">
        <v>317</v>
      </c>
      <c r="B95" t="s">
        <v>291</v>
      </c>
      <c r="C95" s="156">
        <v>74500</v>
      </c>
      <c r="D95" t="s">
        <v>310</v>
      </c>
      <c r="E95" s="155">
        <v>44130</v>
      </c>
    </row>
    <row r="96" spans="1:5" x14ac:dyDescent="0.25">
      <c r="A96" t="s">
        <v>317</v>
      </c>
      <c r="B96" t="s">
        <v>291</v>
      </c>
      <c r="C96" s="156">
        <v>74600</v>
      </c>
      <c r="D96" t="s">
        <v>310</v>
      </c>
      <c r="E96" s="155">
        <v>128172</v>
      </c>
    </row>
    <row r="97" spans="1:5" x14ac:dyDescent="0.25">
      <c r="A97" t="s">
        <v>317</v>
      </c>
      <c r="B97" t="s">
        <v>291</v>
      </c>
      <c r="C97" s="156">
        <v>74800</v>
      </c>
      <c r="D97" t="s">
        <v>310</v>
      </c>
      <c r="E97" s="155">
        <v>111790</v>
      </c>
    </row>
    <row r="98" spans="1:5" x14ac:dyDescent="0.25">
      <c r="A98" t="s">
        <v>313</v>
      </c>
      <c r="B98" t="s">
        <v>292</v>
      </c>
      <c r="C98" s="156">
        <v>34742</v>
      </c>
      <c r="D98" t="s">
        <v>318</v>
      </c>
      <c r="E98" s="155">
        <v>38430</v>
      </c>
    </row>
    <row r="99" spans="1:5" x14ac:dyDescent="0.25">
      <c r="A99" t="s">
        <v>313</v>
      </c>
      <c r="B99" t="s">
        <v>292</v>
      </c>
      <c r="C99" s="156">
        <v>34742</v>
      </c>
      <c r="D99" t="s">
        <v>318</v>
      </c>
      <c r="E99" s="155">
        <v>2382.66</v>
      </c>
    </row>
    <row r="100" spans="1:5" x14ac:dyDescent="0.25">
      <c r="A100" t="s">
        <v>313</v>
      </c>
      <c r="B100" t="s">
        <v>292</v>
      </c>
      <c r="C100" s="156">
        <v>34742</v>
      </c>
      <c r="D100" t="s">
        <v>318</v>
      </c>
      <c r="E100" s="155">
        <v>557.24</v>
      </c>
    </row>
    <row r="101" spans="1:5" x14ac:dyDescent="0.25">
      <c r="A101" t="s">
        <v>314</v>
      </c>
      <c r="B101" t="s">
        <v>292</v>
      </c>
      <c r="C101" s="156">
        <v>67900</v>
      </c>
      <c r="D101" t="s">
        <v>310</v>
      </c>
      <c r="E101" s="155">
        <v>35000</v>
      </c>
    </row>
    <row r="102" spans="1:5" x14ac:dyDescent="0.25">
      <c r="A102" t="s">
        <v>314</v>
      </c>
      <c r="B102" t="s">
        <v>292</v>
      </c>
      <c r="C102" s="156">
        <v>67900</v>
      </c>
      <c r="D102" t="s">
        <v>310</v>
      </c>
      <c r="E102" s="155">
        <v>2170</v>
      </c>
    </row>
    <row r="103" spans="1:5" x14ac:dyDescent="0.25">
      <c r="A103" t="s">
        <v>314</v>
      </c>
      <c r="B103" t="s">
        <v>292</v>
      </c>
      <c r="C103" s="156">
        <v>67900</v>
      </c>
      <c r="D103" t="s">
        <v>310</v>
      </c>
      <c r="E103" s="155">
        <v>507.5</v>
      </c>
    </row>
    <row r="104" spans="1:5" x14ac:dyDescent="0.25">
      <c r="A104" t="s">
        <v>314</v>
      </c>
      <c r="B104" t="s">
        <v>292</v>
      </c>
      <c r="C104" s="156">
        <v>70800</v>
      </c>
      <c r="D104" t="s">
        <v>310</v>
      </c>
      <c r="E104" s="155">
        <v>39168</v>
      </c>
    </row>
    <row r="105" spans="1:5" x14ac:dyDescent="0.25">
      <c r="A105" t="s">
        <v>314</v>
      </c>
      <c r="B105" t="s">
        <v>292</v>
      </c>
      <c r="C105" s="156">
        <v>70800</v>
      </c>
      <c r="D105" t="s">
        <v>310</v>
      </c>
      <c r="E105" s="155">
        <v>2428.42</v>
      </c>
    </row>
    <row r="106" spans="1:5" x14ac:dyDescent="0.25">
      <c r="A106" t="s">
        <v>314</v>
      </c>
      <c r="B106" t="s">
        <v>292</v>
      </c>
      <c r="C106" s="156">
        <v>70800</v>
      </c>
      <c r="D106" t="s">
        <v>310</v>
      </c>
      <c r="E106" s="155">
        <v>567.94000000000005</v>
      </c>
    </row>
    <row r="107" spans="1:5" x14ac:dyDescent="0.25">
      <c r="A107" t="s">
        <v>314</v>
      </c>
      <c r="B107" t="s">
        <v>292</v>
      </c>
      <c r="C107" s="156">
        <v>71360</v>
      </c>
      <c r="D107" t="s">
        <v>310</v>
      </c>
      <c r="E107" s="155">
        <v>35000</v>
      </c>
    </row>
    <row r="108" spans="1:5" x14ac:dyDescent="0.25">
      <c r="A108" t="s">
        <v>314</v>
      </c>
      <c r="B108" t="s">
        <v>292</v>
      </c>
      <c r="C108" s="156">
        <v>71360</v>
      </c>
      <c r="D108" t="s">
        <v>310</v>
      </c>
      <c r="E108" s="155">
        <v>2170</v>
      </c>
    </row>
    <row r="109" spans="1:5" x14ac:dyDescent="0.25">
      <c r="A109" t="s">
        <v>314</v>
      </c>
      <c r="B109" t="s">
        <v>292</v>
      </c>
      <c r="C109" s="156">
        <v>71360</v>
      </c>
      <c r="D109" t="s">
        <v>310</v>
      </c>
      <c r="E109" s="155">
        <v>507.5</v>
      </c>
    </row>
    <row r="110" spans="1:5" x14ac:dyDescent="0.25">
      <c r="A110" t="s">
        <v>317</v>
      </c>
      <c r="B110" t="s">
        <v>293</v>
      </c>
      <c r="C110" s="156">
        <v>74600</v>
      </c>
      <c r="D110" t="s">
        <v>310</v>
      </c>
      <c r="E110" s="155">
        <v>60636</v>
      </c>
    </row>
    <row r="111" spans="1:5" x14ac:dyDescent="0.25">
      <c r="A111" t="s">
        <v>317</v>
      </c>
      <c r="B111" t="s">
        <v>293</v>
      </c>
      <c r="C111" s="156">
        <v>74600</v>
      </c>
      <c r="D111" t="s">
        <v>310</v>
      </c>
      <c r="E111" s="155">
        <v>3759.43</v>
      </c>
    </row>
    <row r="112" spans="1:5" x14ac:dyDescent="0.25">
      <c r="A112" t="s">
        <v>317</v>
      </c>
      <c r="B112" t="s">
        <v>293</v>
      </c>
      <c r="C112" s="156">
        <v>74600</v>
      </c>
      <c r="D112" t="s">
        <v>310</v>
      </c>
      <c r="E112" s="155">
        <v>879.22</v>
      </c>
    </row>
    <row r="113" spans="1:5" x14ac:dyDescent="0.25">
      <c r="A113" t="s">
        <v>314</v>
      </c>
      <c r="B113" t="s">
        <v>294</v>
      </c>
      <c r="C113" s="156">
        <v>63100</v>
      </c>
      <c r="D113" t="s">
        <v>310</v>
      </c>
      <c r="E113" s="155">
        <v>35000</v>
      </c>
    </row>
    <row r="114" spans="1:5" x14ac:dyDescent="0.25">
      <c r="A114" t="s">
        <v>314</v>
      </c>
      <c r="B114" t="s">
        <v>294</v>
      </c>
      <c r="C114" s="156">
        <v>63100</v>
      </c>
      <c r="D114" t="s">
        <v>310</v>
      </c>
      <c r="E114" s="155">
        <v>2170</v>
      </c>
    </row>
    <row r="115" spans="1:5" x14ac:dyDescent="0.25">
      <c r="A115" t="s">
        <v>314</v>
      </c>
      <c r="B115" t="s">
        <v>294</v>
      </c>
      <c r="C115" s="156">
        <v>63100</v>
      </c>
      <c r="D115" t="s">
        <v>310</v>
      </c>
      <c r="E115" s="155">
        <v>507.5</v>
      </c>
    </row>
    <row r="116" spans="1:5" x14ac:dyDescent="0.25">
      <c r="A116" t="s">
        <v>314</v>
      </c>
      <c r="B116" t="s">
        <v>295</v>
      </c>
      <c r="C116" s="156">
        <v>73500</v>
      </c>
      <c r="D116" t="s">
        <v>310</v>
      </c>
      <c r="E116" s="155">
        <v>17500</v>
      </c>
    </row>
    <row r="117" spans="1:5" x14ac:dyDescent="0.25">
      <c r="A117" t="s">
        <v>314</v>
      </c>
      <c r="B117" t="s">
        <v>295</v>
      </c>
      <c r="C117" s="156">
        <v>73500</v>
      </c>
      <c r="D117" t="s">
        <v>310</v>
      </c>
      <c r="E117" s="155">
        <v>1085</v>
      </c>
    </row>
    <row r="118" spans="1:5" x14ac:dyDescent="0.25">
      <c r="A118" t="s">
        <v>314</v>
      </c>
      <c r="B118" t="s">
        <v>295</v>
      </c>
      <c r="C118" s="156">
        <v>73500</v>
      </c>
      <c r="D118" t="s">
        <v>310</v>
      </c>
      <c r="E118" s="155">
        <v>253.75</v>
      </c>
    </row>
    <row r="119" spans="1:5" x14ac:dyDescent="0.25">
      <c r="A119" t="s">
        <v>314</v>
      </c>
      <c r="B119" t="s">
        <v>296</v>
      </c>
      <c r="C119" s="156">
        <v>67410</v>
      </c>
      <c r="D119" t="s">
        <v>310</v>
      </c>
      <c r="E119" s="155">
        <v>53754</v>
      </c>
    </row>
    <row r="120" spans="1:5" x14ac:dyDescent="0.25">
      <c r="A120" t="s">
        <v>314</v>
      </c>
      <c r="B120" t="s">
        <v>296</v>
      </c>
      <c r="C120" s="156">
        <v>67410</v>
      </c>
      <c r="D120" t="s">
        <v>310</v>
      </c>
      <c r="E120" s="155">
        <v>3332.75</v>
      </c>
    </row>
    <row r="121" spans="1:5" x14ac:dyDescent="0.25">
      <c r="A121" t="s">
        <v>314</v>
      </c>
      <c r="B121" t="s">
        <v>296</v>
      </c>
      <c r="C121" s="156">
        <v>67410</v>
      </c>
      <c r="D121" t="s">
        <v>310</v>
      </c>
      <c r="E121" s="155">
        <v>779.43</v>
      </c>
    </row>
    <row r="122" spans="1:5" x14ac:dyDescent="0.25">
      <c r="A122" t="s">
        <v>309</v>
      </c>
      <c r="B122" t="s">
        <v>297</v>
      </c>
      <c r="C122" s="156">
        <v>54400</v>
      </c>
      <c r="D122" t="s">
        <v>319</v>
      </c>
      <c r="E122" s="155">
        <v>12096</v>
      </c>
    </row>
    <row r="123" spans="1:5" x14ac:dyDescent="0.25">
      <c r="A123" t="s">
        <v>309</v>
      </c>
      <c r="B123" t="s">
        <v>297</v>
      </c>
      <c r="C123" s="156">
        <v>54400</v>
      </c>
      <c r="D123" t="s">
        <v>319</v>
      </c>
      <c r="E123" s="155">
        <v>749.95</v>
      </c>
    </row>
    <row r="124" spans="1:5" x14ac:dyDescent="0.25">
      <c r="A124" t="s">
        <v>309</v>
      </c>
      <c r="B124" t="s">
        <v>297</v>
      </c>
      <c r="C124" s="156">
        <v>54400</v>
      </c>
      <c r="D124" t="s">
        <v>319</v>
      </c>
      <c r="E124" s="155">
        <v>175.39</v>
      </c>
    </row>
    <row r="125" spans="1:5" x14ac:dyDescent="0.25">
      <c r="A125" t="s">
        <v>312</v>
      </c>
      <c r="B125" t="s">
        <v>298</v>
      </c>
      <c r="C125" s="156">
        <v>19600</v>
      </c>
      <c r="D125" t="s">
        <v>310</v>
      </c>
      <c r="E125" s="155">
        <v>140000</v>
      </c>
    </row>
    <row r="126" spans="1:5" x14ac:dyDescent="0.25">
      <c r="A126" t="s">
        <v>312</v>
      </c>
      <c r="B126" t="s">
        <v>298</v>
      </c>
      <c r="C126" s="156">
        <v>19600</v>
      </c>
      <c r="D126" t="s">
        <v>310</v>
      </c>
      <c r="E126" s="155">
        <v>8680</v>
      </c>
    </row>
    <row r="127" spans="1:5" x14ac:dyDescent="0.25">
      <c r="A127" t="s">
        <v>312</v>
      </c>
      <c r="B127" t="s">
        <v>298</v>
      </c>
      <c r="C127" s="156">
        <v>19600</v>
      </c>
      <c r="D127" t="s">
        <v>310</v>
      </c>
      <c r="E127" s="155">
        <v>2030</v>
      </c>
    </row>
    <row r="128" spans="1:5" x14ac:dyDescent="0.25">
      <c r="E128" s="159">
        <f>SUM(E29:E127)</f>
        <v>4622183.68</v>
      </c>
    </row>
    <row r="131" spans="1:10" x14ac:dyDescent="0.25">
      <c r="A131" s="103" t="s">
        <v>320</v>
      </c>
      <c r="B131" s="103" t="s">
        <v>321</v>
      </c>
    </row>
    <row r="132" spans="1:10" x14ac:dyDescent="0.25">
      <c r="A132" s="103" t="s">
        <v>322</v>
      </c>
      <c r="B132" s="156" t="s">
        <v>291</v>
      </c>
      <c r="C132" s="156" t="s">
        <v>292</v>
      </c>
      <c r="D132" s="156" t="s">
        <v>293</v>
      </c>
      <c r="E132" s="156" t="s">
        <v>294</v>
      </c>
      <c r="F132" s="156" t="s">
        <v>295</v>
      </c>
      <c r="G132" s="156" t="s">
        <v>296</v>
      </c>
      <c r="H132" s="156" t="s">
        <v>297</v>
      </c>
      <c r="I132" s="156" t="s">
        <v>298</v>
      </c>
      <c r="J132" t="s">
        <v>323</v>
      </c>
    </row>
    <row r="133" spans="1:10" x14ac:dyDescent="0.25">
      <c r="A133" s="80" t="s">
        <v>315</v>
      </c>
      <c r="B133" s="157">
        <v>35000</v>
      </c>
      <c r="C133" s="157"/>
      <c r="D133" s="157"/>
      <c r="E133" s="157"/>
      <c r="F133" s="157"/>
      <c r="G133" s="157"/>
      <c r="H133" s="157"/>
      <c r="I133" s="157"/>
      <c r="J133" s="157">
        <v>35000</v>
      </c>
    </row>
    <row r="134" spans="1:10" x14ac:dyDescent="0.25">
      <c r="A134" s="80" t="s">
        <v>309</v>
      </c>
      <c r="B134" s="157">
        <v>1924442</v>
      </c>
      <c r="C134" s="157"/>
      <c r="D134" s="157"/>
      <c r="E134" s="157"/>
      <c r="F134" s="157"/>
      <c r="G134" s="157"/>
      <c r="H134" s="157">
        <v>13021.34</v>
      </c>
      <c r="I134" s="157"/>
      <c r="J134" s="157">
        <v>1937463.34</v>
      </c>
    </row>
    <row r="135" spans="1:10" x14ac:dyDescent="0.25">
      <c r="A135" s="80" t="s">
        <v>314</v>
      </c>
      <c r="B135" s="157">
        <v>845648</v>
      </c>
      <c r="C135" s="157">
        <v>117519.36</v>
      </c>
      <c r="D135" s="157"/>
      <c r="E135" s="157">
        <v>37677.5</v>
      </c>
      <c r="F135" s="157">
        <v>18838.75</v>
      </c>
      <c r="G135" s="157">
        <v>57866.18</v>
      </c>
      <c r="H135" s="157"/>
      <c r="I135" s="157"/>
      <c r="J135" s="157">
        <v>1077549.79</v>
      </c>
    </row>
    <row r="136" spans="1:10" x14ac:dyDescent="0.25">
      <c r="A136" s="80" t="s">
        <v>313</v>
      </c>
      <c r="B136" s="157">
        <v>228256</v>
      </c>
      <c r="C136" s="157">
        <v>41369.9</v>
      </c>
      <c r="D136" s="157"/>
      <c r="E136" s="157"/>
      <c r="F136" s="157"/>
      <c r="G136" s="157"/>
      <c r="H136" s="157"/>
      <c r="I136" s="157"/>
      <c r="J136" s="157">
        <v>269625.90000000002</v>
      </c>
    </row>
    <row r="137" spans="1:10" x14ac:dyDescent="0.25">
      <c r="A137" s="80" t="s">
        <v>312</v>
      </c>
      <c r="B137" s="157">
        <v>727468</v>
      </c>
      <c r="C137" s="157"/>
      <c r="D137" s="157"/>
      <c r="E137" s="157"/>
      <c r="F137" s="157"/>
      <c r="G137" s="157"/>
      <c r="H137" s="157"/>
      <c r="I137" s="157">
        <v>150710</v>
      </c>
      <c r="J137" s="157">
        <v>878178</v>
      </c>
    </row>
    <row r="138" spans="1:10" x14ac:dyDescent="0.25">
      <c r="A138" s="80" t="s">
        <v>317</v>
      </c>
      <c r="B138" s="157">
        <v>359092</v>
      </c>
      <c r="C138" s="157"/>
      <c r="D138" s="157">
        <v>65274.65</v>
      </c>
      <c r="E138" s="157"/>
      <c r="F138" s="157"/>
      <c r="G138" s="157"/>
      <c r="H138" s="157"/>
      <c r="I138" s="157"/>
      <c r="J138" s="157">
        <v>424366.65</v>
      </c>
    </row>
    <row r="139" spans="1:10" x14ac:dyDescent="0.25">
      <c r="A139" s="80" t="s">
        <v>323</v>
      </c>
      <c r="B139" s="157">
        <v>4119906</v>
      </c>
      <c r="C139" s="157">
        <v>158889.26</v>
      </c>
      <c r="D139" s="157">
        <v>65274.65</v>
      </c>
      <c r="E139" s="157">
        <v>37677.5</v>
      </c>
      <c r="F139" s="157">
        <v>18838.75</v>
      </c>
      <c r="G139" s="157">
        <v>57866.18</v>
      </c>
      <c r="H139" s="157">
        <v>13021.34</v>
      </c>
      <c r="I139" s="157">
        <v>150710</v>
      </c>
      <c r="J139" s="157">
        <v>4622183.68</v>
      </c>
    </row>
  </sheetData>
  <mergeCells count="2">
    <mergeCell ref="C9:D9"/>
    <mergeCell ref="E9:I9"/>
  </mergeCells>
  <printOptions horizontalCentered="1"/>
  <pageMargins left="0.25" right="0.25" top="0.5" bottom="0.5" header="0.3" footer="0.3"/>
  <pageSetup scale="86" fitToHeight="0" orientation="landscape" r:id="rId2"/>
  <headerFooter>
    <oddFooter>&amp;L&amp;8&amp;D&amp;C&amp;8&amp;P&amp;R&amp;8&amp;A</oddFooter>
  </headerFooter>
  <ignoredErrors>
    <ignoredError sqref="J18" formula="1"/>
  </ignoredError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6145D-2882-4B16-B38B-39045051A5A2}">
  <sheetPr>
    <tabColor theme="0" tint="-0.34998626667073579"/>
    <pageSetUpPr fitToPage="1"/>
  </sheetPr>
  <dimension ref="A1:H34"/>
  <sheetViews>
    <sheetView workbookViewId="0">
      <selection activeCell="N12" sqref="N12"/>
    </sheetView>
  </sheetViews>
  <sheetFormatPr defaultColWidth="8.85546875" defaultRowHeight="15" x14ac:dyDescent="0.25"/>
  <cols>
    <col min="1" max="1" width="34.42578125" style="2" customWidth="1"/>
    <col min="2" max="2" width="31" style="2" customWidth="1"/>
    <col min="3" max="8" width="14" style="1" customWidth="1"/>
    <col min="9" max="20" width="14" style="2" customWidth="1"/>
    <col min="21" max="16384" width="8.85546875" style="2"/>
  </cols>
  <sheetData>
    <row r="1" spans="1:8" ht="25.9" customHeight="1" x14ac:dyDescent="0.3">
      <c r="A1" s="3"/>
      <c r="B1" s="3"/>
    </row>
    <row r="2" spans="1:8" ht="25.9" customHeight="1" x14ac:dyDescent="0.3">
      <c r="A2" s="3"/>
      <c r="B2" s="3"/>
    </row>
    <row r="3" spans="1:8" ht="18.75" customHeight="1" x14ac:dyDescent="0.3">
      <c r="A3" s="3" t="s">
        <v>324</v>
      </c>
      <c r="B3" s="3"/>
      <c r="H3" s="6" t="str">
        <f>+'Attachment A - Base'!I3</f>
        <v>BPA #25-01</v>
      </c>
    </row>
    <row r="4" spans="1:8" ht="20.100000000000001" customHeight="1" x14ac:dyDescent="0.25">
      <c r="A4" s="17">
        <f>+'Attachment A - Base'!A4</f>
        <v>45881</v>
      </c>
      <c r="B4" s="17"/>
    </row>
    <row r="5" spans="1:8" x14ac:dyDescent="0.25">
      <c r="C5" s="169"/>
      <c r="D5" s="169"/>
      <c r="E5" s="169"/>
      <c r="F5" s="169"/>
      <c r="G5" s="169"/>
      <c r="H5" s="169"/>
    </row>
    <row r="6" spans="1:8" x14ac:dyDescent="0.25">
      <c r="C6" s="1">
        <v>-1</v>
      </c>
      <c r="D6" s="1">
        <v>-2</v>
      </c>
      <c r="E6" s="30"/>
      <c r="F6" s="1">
        <v>-3</v>
      </c>
      <c r="G6" s="1">
        <v>-4</v>
      </c>
      <c r="H6" s="19"/>
    </row>
    <row r="7" spans="1:8" ht="45.75" thickBot="1" x14ac:dyDescent="0.3">
      <c r="A7" s="4"/>
      <c r="B7" s="4"/>
      <c r="C7" s="5" t="s">
        <v>325</v>
      </c>
      <c r="D7" s="5" t="s">
        <v>326</v>
      </c>
      <c r="E7" s="31" t="s">
        <v>327</v>
      </c>
      <c r="F7" s="5" t="s">
        <v>280</v>
      </c>
      <c r="G7" s="5" t="s">
        <v>328</v>
      </c>
      <c r="H7" s="20" t="s">
        <v>329</v>
      </c>
    </row>
    <row r="8" spans="1:8" ht="14.45" customHeight="1" x14ac:dyDescent="0.25">
      <c r="A8" s="14"/>
      <c r="B8" s="14"/>
      <c r="C8" s="16"/>
      <c r="D8" s="16"/>
      <c r="E8" s="93"/>
      <c r="F8" s="16"/>
      <c r="G8" s="16"/>
      <c r="H8" s="21"/>
    </row>
    <row r="9" spans="1:8" ht="14.45" customHeight="1" x14ac:dyDescent="0.25">
      <c r="A9" s="92" t="s">
        <v>2</v>
      </c>
      <c r="B9" s="92"/>
      <c r="C9" s="90"/>
      <c r="D9" s="90"/>
      <c r="E9" s="94"/>
      <c r="F9" s="90"/>
      <c r="G9" s="90"/>
      <c r="H9" s="91"/>
    </row>
    <row r="10" spans="1:8" ht="14.45" customHeight="1" x14ac:dyDescent="0.25">
      <c r="A10" s="2" t="s">
        <v>330</v>
      </c>
      <c r="B10" s="1" t="s">
        <v>331</v>
      </c>
      <c r="C10" s="124">
        <v>39573000</v>
      </c>
      <c r="D10" s="124">
        <f>51558000-39573000</f>
        <v>11985000</v>
      </c>
      <c r="E10" s="95">
        <f>SUM(C10:D10)</f>
        <v>51558000</v>
      </c>
      <c r="F10" s="105">
        <v>171911</v>
      </c>
      <c r="G10" s="105"/>
      <c r="H10" s="22">
        <f>SUM(E10:G10)</f>
        <v>51729911</v>
      </c>
    </row>
    <row r="11" spans="1:8" ht="14.45" customHeight="1" x14ac:dyDescent="0.25">
      <c r="A11" s="2" t="s">
        <v>332</v>
      </c>
      <c r="B11" s="1" t="s">
        <v>333</v>
      </c>
      <c r="C11" s="124">
        <v>832210</v>
      </c>
      <c r="D11" s="124">
        <v>0</v>
      </c>
      <c r="E11" s="95">
        <f t="shared" ref="E11:E15" si="0">SUM(C11:D11)</f>
        <v>832210</v>
      </c>
      <c r="F11" s="105">
        <v>3670</v>
      </c>
      <c r="G11" s="105"/>
      <c r="H11" s="22">
        <f t="shared" ref="H11:H15" si="1">SUM(E11:G11)</f>
        <v>835880</v>
      </c>
    </row>
    <row r="12" spans="1:8" ht="14.45" customHeight="1" x14ac:dyDescent="0.25">
      <c r="A12" s="2" t="s">
        <v>334</v>
      </c>
      <c r="B12" s="1" t="s">
        <v>335</v>
      </c>
      <c r="C12" s="124">
        <v>30199</v>
      </c>
      <c r="D12" s="124">
        <v>0</v>
      </c>
      <c r="E12" s="95">
        <f t="shared" si="0"/>
        <v>30199</v>
      </c>
      <c r="F12" s="105">
        <v>195517</v>
      </c>
      <c r="G12" s="105"/>
      <c r="H12" s="22">
        <f t="shared" si="1"/>
        <v>225716</v>
      </c>
    </row>
    <row r="13" spans="1:8" ht="14.45" customHeight="1" x14ac:dyDescent="0.25">
      <c r="A13" s="2" t="s">
        <v>336</v>
      </c>
      <c r="B13" s="1" t="s">
        <v>337</v>
      </c>
      <c r="C13" s="124">
        <v>0</v>
      </c>
      <c r="D13" s="124"/>
      <c r="E13" s="95">
        <f t="shared" si="0"/>
        <v>0</v>
      </c>
      <c r="F13" s="105">
        <v>-23925</v>
      </c>
      <c r="G13" s="105">
        <v>23925</v>
      </c>
      <c r="H13" s="22">
        <f t="shared" si="1"/>
        <v>0</v>
      </c>
    </row>
    <row r="14" spans="1:8" ht="14.45" customHeight="1" x14ac:dyDescent="0.25">
      <c r="A14" s="2" t="s">
        <v>338</v>
      </c>
      <c r="B14" s="1" t="s">
        <v>339</v>
      </c>
      <c r="C14" s="124">
        <v>0</v>
      </c>
      <c r="D14" s="124"/>
      <c r="E14" s="95">
        <f t="shared" si="0"/>
        <v>0</v>
      </c>
      <c r="F14" s="105">
        <v>76305</v>
      </c>
      <c r="G14" s="105"/>
      <c r="H14" s="22">
        <f t="shared" si="1"/>
        <v>76305</v>
      </c>
    </row>
    <row r="15" spans="1:8" ht="14.45" customHeight="1" x14ac:dyDescent="0.25">
      <c r="A15" s="2" t="s">
        <v>340</v>
      </c>
      <c r="B15" s="1"/>
      <c r="C15" s="124">
        <v>0</v>
      </c>
      <c r="D15" s="124"/>
      <c r="E15" s="95">
        <f t="shared" si="0"/>
        <v>0</v>
      </c>
      <c r="F15" s="105"/>
      <c r="G15" s="105"/>
      <c r="H15" s="22">
        <f t="shared" si="1"/>
        <v>0</v>
      </c>
    </row>
    <row r="16" spans="1:8" ht="14.45" customHeight="1" x14ac:dyDescent="0.25">
      <c r="A16" s="9" t="s">
        <v>341</v>
      </c>
      <c r="B16" s="125"/>
      <c r="C16" s="8">
        <f t="shared" ref="C16:H16" si="2">SUM(C10:C15)</f>
        <v>40435409</v>
      </c>
      <c r="D16" s="8">
        <f t="shared" si="2"/>
        <v>11985000</v>
      </c>
      <c r="E16" s="86">
        <f t="shared" si="2"/>
        <v>52420409</v>
      </c>
      <c r="F16" s="8">
        <f t="shared" si="2"/>
        <v>423478</v>
      </c>
      <c r="G16" s="8">
        <f t="shared" si="2"/>
        <v>23925</v>
      </c>
      <c r="H16" s="23">
        <f t="shared" si="2"/>
        <v>52867812</v>
      </c>
    </row>
    <row r="17" spans="1:8" ht="14.45" customHeight="1" x14ac:dyDescent="0.25">
      <c r="B17" s="1"/>
      <c r="C17" s="124"/>
      <c r="D17" s="124"/>
      <c r="E17" s="95"/>
      <c r="F17" s="105"/>
      <c r="G17" s="105"/>
      <c r="H17" s="22"/>
    </row>
    <row r="18" spans="1:8" ht="14.45" customHeight="1" x14ac:dyDescent="0.25">
      <c r="A18" s="67" t="s">
        <v>4</v>
      </c>
      <c r="B18" s="152"/>
      <c r="C18" s="124"/>
      <c r="D18" s="124"/>
      <c r="E18" s="95"/>
      <c r="F18" s="105"/>
      <c r="G18" s="105"/>
      <c r="H18" s="22"/>
    </row>
    <row r="19" spans="1:8" ht="14.45" customHeight="1" x14ac:dyDescent="0.25">
      <c r="A19" s="2" t="s">
        <v>342</v>
      </c>
      <c r="B19" s="1" t="s">
        <v>343</v>
      </c>
      <c r="C19" s="124">
        <v>90011</v>
      </c>
      <c r="D19" s="124">
        <f>84411-90011</f>
        <v>-5600</v>
      </c>
      <c r="E19" s="95">
        <f t="shared" ref="E19:E21" si="3">SUM(C19:D19)</f>
        <v>84411</v>
      </c>
      <c r="F19" s="105"/>
      <c r="G19" s="105"/>
      <c r="H19" s="22">
        <f t="shared" ref="H19:H21" si="4">SUM(E19:G19)</f>
        <v>84411</v>
      </c>
    </row>
    <row r="20" spans="1:8" ht="14.45" customHeight="1" x14ac:dyDescent="0.25">
      <c r="A20" s="2" t="s">
        <v>344</v>
      </c>
      <c r="B20" s="4" t="s">
        <v>345</v>
      </c>
      <c r="C20" s="124">
        <v>302826</v>
      </c>
      <c r="D20" s="124">
        <f>324177-302826</f>
        <v>21351</v>
      </c>
      <c r="E20" s="95">
        <f t="shared" si="3"/>
        <v>324177</v>
      </c>
      <c r="F20" s="105">
        <v>-1542</v>
      </c>
      <c r="G20" s="105"/>
      <c r="H20" s="22">
        <f t="shared" si="4"/>
        <v>322635</v>
      </c>
    </row>
    <row r="21" spans="1:8" ht="14.45" customHeight="1" x14ac:dyDescent="0.25">
      <c r="A21" s="2" t="s">
        <v>346</v>
      </c>
      <c r="B21" s="1" t="s">
        <v>347</v>
      </c>
      <c r="C21" s="124"/>
      <c r="D21" s="124"/>
      <c r="E21" s="95">
        <f t="shared" si="3"/>
        <v>0</v>
      </c>
      <c r="F21" s="105">
        <v>14941</v>
      </c>
      <c r="G21" s="105"/>
      <c r="H21" s="22">
        <f t="shared" si="4"/>
        <v>14941</v>
      </c>
    </row>
    <row r="22" spans="1:8" ht="14.45" customHeight="1" x14ac:dyDescent="0.25">
      <c r="A22" s="9" t="s">
        <v>348</v>
      </c>
      <c r="B22" s="125"/>
      <c r="C22" s="8">
        <f>SUM(C19:C21)</f>
        <v>392837</v>
      </c>
      <c r="D22" s="8">
        <f t="shared" ref="D22" si="5">SUM(D19:D21)</f>
        <v>15751</v>
      </c>
      <c r="E22" s="86">
        <f>SUM(E19:E21)</f>
        <v>408588</v>
      </c>
      <c r="F22" s="8">
        <f>SUM(F19:F21)</f>
        <v>13399</v>
      </c>
      <c r="G22" s="8">
        <f>SUM(G19:G21)</f>
        <v>0</v>
      </c>
      <c r="H22" s="23">
        <f>SUM(H19:H21)</f>
        <v>421987</v>
      </c>
    </row>
    <row r="23" spans="1:8" ht="14.45" customHeight="1" x14ac:dyDescent="0.25">
      <c r="B23" s="1"/>
      <c r="C23" s="78"/>
      <c r="D23" s="78"/>
      <c r="E23" s="88"/>
      <c r="F23" s="78"/>
      <c r="G23" s="78"/>
      <c r="H23" s="22"/>
    </row>
    <row r="24" spans="1:8" ht="14.45" customHeight="1" x14ac:dyDescent="0.25">
      <c r="A24" s="67" t="s">
        <v>349</v>
      </c>
      <c r="B24" s="152"/>
      <c r="C24" s="78"/>
      <c r="D24" s="78"/>
      <c r="E24" s="88"/>
      <c r="F24" s="78"/>
      <c r="G24" s="78"/>
      <c r="H24" s="22"/>
    </row>
    <row r="25" spans="1:8" ht="14.45" customHeight="1" x14ac:dyDescent="0.25">
      <c r="A25" s="2" t="s">
        <v>350</v>
      </c>
      <c r="B25" s="1" t="s">
        <v>351</v>
      </c>
      <c r="C25" s="78"/>
      <c r="D25" s="78"/>
      <c r="E25" s="88"/>
      <c r="F25" s="78">
        <v>53000</v>
      </c>
      <c r="G25" s="78"/>
      <c r="H25" s="22">
        <f t="shared" ref="H25" si="6">SUM(E25:G25)</f>
        <v>53000</v>
      </c>
    </row>
    <row r="26" spans="1:8" ht="14.45" customHeight="1" x14ac:dyDescent="0.25">
      <c r="A26" s="9" t="s">
        <v>348</v>
      </c>
      <c r="B26" s="125"/>
      <c r="C26" s="107">
        <f t="shared" ref="C26:H26" si="7">SUM(C25)</f>
        <v>0</v>
      </c>
      <c r="D26" s="107">
        <f t="shared" si="7"/>
        <v>0</v>
      </c>
      <c r="E26" s="86">
        <f t="shared" si="7"/>
        <v>0</v>
      </c>
      <c r="F26" s="107">
        <f t="shared" si="7"/>
        <v>53000</v>
      </c>
      <c r="G26" s="107">
        <f t="shared" si="7"/>
        <v>0</v>
      </c>
      <c r="H26" s="23">
        <f t="shared" si="7"/>
        <v>53000</v>
      </c>
    </row>
    <row r="27" spans="1:8" ht="14.45" customHeight="1" x14ac:dyDescent="0.25">
      <c r="C27" s="61"/>
      <c r="D27" s="61"/>
      <c r="E27" s="88"/>
      <c r="F27" s="61"/>
      <c r="G27" s="61"/>
      <c r="H27" s="22"/>
    </row>
    <row r="28" spans="1:8" ht="14.45" customHeight="1" thickBot="1" x14ac:dyDescent="0.3">
      <c r="A28" s="10" t="s">
        <v>26</v>
      </c>
      <c r="B28" s="10"/>
      <c r="C28" s="11">
        <f t="shared" ref="C28:H28" si="8">+C16+C22+C26</f>
        <v>40828246</v>
      </c>
      <c r="D28" s="11">
        <f t="shared" si="8"/>
        <v>12000751</v>
      </c>
      <c r="E28" s="87">
        <f t="shared" si="8"/>
        <v>52828997</v>
      </c>
      <c r="F28" s="11">
        <f t="shared" si="8"/>
        <v>489877</v>
      </c>
      <c r="G28" s="11">
        <f t="shared" si="8"/>
        <v>23925</v>
      </c>
      <c r="H28" s="24">
        <f t="shared" si="8"/>
        <v>53342799</v>
      </c>
    </row>
    <row r="29" spans="1:8" x14ac:dyDescent="0.25">
      <c r="A29" s="2" t="s">
        <v>352</v>
      </c>
    </row>
    <row r="30" spans="1:8" x14ac:dyDescent="0.25">
      <c r="A30" s="2" t="s">
        <v>353</v>
      </c>
    </row>
    <row r="31" spans="1:8" x14ac:dyDescent="0.25">
      <c r="A31" s="2" t="s">
        <v>354</v>
      </c>
    </row>
    <row r="32" spans="1:8" x14ac:dyDescent="0.25">
      <c r="A32" s="2" t="s">
        <v>355</v>
      </c>
    </row>
    <row r="33" spans="1:1" x14ac:dyDescent="0.25">
      <c r="A33" s="2" t="s">
        <v>356</v>
      </c>
    </row>
    <row r="34" spans="1:1" x14ac:dyDescent="0.25">
      <c r="A34" s="2" t="s">
        <v>357</v>
      </c>
    </row>
  </sheetData>
  <mergeCells count="1">
    <mergeCell ref="C5:H5"/>
  </mergeCells>
  <printOptions horizontalCentered="1"/>
  <pageMargins left="0.5" right="0.5" top="0.5" bottom="0.5" header="0.3" footer="0.3"/>
  <pageSetup scale="85" fitToHeight="0" orientation="landscape" r:id="rId1"/>
  <headerFooter>
    <oddFooter>&amp;L&amp;8&amp;D&amp;C&amp;8&amp;P&amp;R&amp;8&amp;A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B496F-ED40-4AAC-A9AF-075688319194}">
  <sheetPr>
    <tabColor rgb="FFFFC000"/>
    <pageSetUpPr fitToPage="1"/>
  </sheetPr>
  <dimension ref="A1:C20"/>
  <sheetViews>
    <sheetView workbookViewId="0">
      <selection activeCell="N12" sqref="N12"/>
    </sheetView>
  </sheetViews>
  <sheetFormatPr defaultColWidth="8.85546875" defaultRowHeight="15" x14ac:dyDescent="0.25"/>
  <cols>
    <col min="1" max="1" width="26.28515625" style="2" customWidth="1"/>
    <col min="2" max="2" width="13" style="1" customWidth="1"/>
    <col min="3" max="3" width="13.42578125" style="1" customWidth="1"/>
    <col min="4" max="15" width="14" style="2" customWidth="1"/>
    <col min="16" max="16384" width="8.85546875" style="2"/>
  </cols>
  <sheetData>
    <row r="1" spans="1:3" ht="25.9" customHeight="1" x14ac:dyDescent="0.4">
      <c r="A1" s="3"/>
      <c r="C1" s="26"/>
    </row>
    <row r="2" spans="1:3" ht="25.9" customHeight="1" x14ac:dyDescent="0.3">
      <c r="A2" s="3"/>
    </row>
    <row r="3" spans="1:3" ht="18.75" customHeight="1" x14ac:dyDescent="0.3">
      <c r="A3" s="3" t="s">
        <v>358</v>
      </c>
      <c r="C3" s="6" t="str">
        <f>+'Attachment A - Base'!I3</f>
        <v>BPA #25-01</v>
      </c>
    </row>
    <row r="4" spans="1:3" ht="20.100000000000001" customHeight="1" x14ac:dyDescent="0.25">
      <c r="A4" s="17">
        <f>+'Attachment A - Base'!A4</f>
        <v>45881</v>
      </c>
    </row>
    <row r="5" spans="1:3" x14ac:dyDescent="0.25">
      <c r="B5" s="169"/>
      <c r="C5" s="169"/>
    </row>
    <row r="6" spans="1:3" x14ac:dyDescent="0.25">
      <c r="B6" s="1">
        <v>-1</v>
      </c>
      <c r="C6" s="19"/>
    </row>
    <row r="7" spans="1:3" ht="45.75" thickBot="1" x14ac:dyDescent="0.3">
      <c r="A7" s="4"/>
      <c r="B7" s="5" t="s">
        <v>359</v>
      </c>
      <c r="C7" s="20" t="s">
        <v>360</v>
      </c>
    </row>
    <row r="8" spans="1:3" ht="19.149999999999999" customHeight="1" x14ac:dyDescent="0.25">
      <c r="A8" s="14"/>
      <c r="B8" s="16"/>
      <c r="C8" s="21"/>
    </row>
    <row r="9" spans="1:3" ht="19.149999999999999" customHeight="1" x14ac:dyDescent="0.25">
      <c r="A9" s="2" t="s">
        <v>17</v>
      </c>
      <c r="B9" s="7">
        <v>0</v>
      </c>
      <c r="C9" s="22">
        <f t="shared" ref="C9:C14" si="0">SUM(B9:B9)</f>
        <v>0</v>
      </c>
    </row>
    <row r="10" spans="1:3" ht="19.149999999999999" customHeight="1" x14ac:dyDescent="0.25">
      <c r="A10" s="2" t="s">
        <v>18</v>
      </c>
      <c r="B10" s="7">
        <v>1513000</v>
      </c>
      <c r="C10" s="22">
        <f t="shared" si="0"/>
        <v>1513000</v>
      </c>
    </row>
    <row r="11" spans="1:3" ht="19.149999999999999" customHeight="1" x14ac:dyDescent="0.25">
      <c r="A11" s="2" t="s">
        <v>19</v>
      </c>
      <c r="B11" s="7">
        <v>0</v>
      </c>
      <c r="C11" s="22">
        <f t="shared" si="0"/>
        <v>0</v>
      </c>
    </row>
    <row r="12" spans="1:3" ht="19.149999999999999" customHeight="1" x14ac:dyDescent="0.25">
      <c r="A12" s="2" t="s">
        <v>20</v>
      </c>
      <c r="B12" s="7">
        <v>902000</v>
      </c>
      <c r="C12" s="22">
        <f t="shared" si="0"/>
        <v>902000</v>
      </c>
    </row>
    <row r="13" spans="1:3" ht="19.149999999999999" customHeight="1" x14ac:dyDescent="0.25">
      <c r="A13" s="2" t="s">
        <v>21</v>
      </c>
      <c r="B13" s="7">
        <v>0</v>
      </c>
      <c r="C13" s="22">
        <f t="shared" si="0"/>
        <v>0</v>
      </c>
    </row>
    <row r="14" spans="1:3" ht="19.149999999999999" customHeight="1" x14ac:dyDescent="0.25">
      <c r="A14" s="2" t="s">
        <v>22</v>
      </c>
      <c r="B14" s="7">
        <v>0</v>
      </c>
      <c r="C14" s="22">
        <f t="shared" si="0"/>
        <v>0</v>
      </c>
    </row>
    <row r="15" spans="1:3" ht="19.149999999999999" customHeight="1" x14ac:dyDescent="0.25">
      <c r="A15" s="9" t="s">
        <v>23</v>
      </c>
      <c r="B15" s="8">
        <f t="shared" ref="B15:C15" si="1">SUM(B9:B14)</f>
        <v>2415000</v>
      </c>
      <c r="C15" s="23">
        <f t="shared" si="1"/>
        <v>2415000</v>
      </c>
    </row>
    <row r="16" spans="1:3" ht="19.149999999999999" customHeight="1" x14ac:dyDescent="0.25">
      <c r="B16" s="18"/>
      <c r="C16" s="22"/>
    </row>
    <row r="17" spans="1:3" ht="19.149999999999999" customHeight="1" x14ac:dyDescent="0.25">
      <c r="A17" s="2" t="s">
        <v>25</v>
      </c>
      <c r="B17" s="7"/>
      <c r="C17" s="22">
        <f>SUM(B17:B17)</f>
        <v>0</v>
      </c>
    </row>
    <row r="18" spans="1:3" ht="15" customHeight="1" thickBot="1" x14ac:dyDescent="0.3">
      <c r="A18" s="10" t="s">
        <v>26</v>
      </c>
      <c r="B18" s="11">
        <f t="shared" ref="B18:C18" si="2">SUM(B15:B17)</f>
        <v>2415000</v>
      </c>
      <c r="C18" s="24">
        <f t="shared" si="2"/>
        <v>2415000</v>
      </c>
    </row>
    <row r="19" spans="1:3" ht="15" customHeight="1" x14ac:dyDescent="0.25">
      <c r="A19" s="12"/>
      <c r="B19" s="12"/>
      <c r="C19" s="13"/>
    </row>
    <row r="20" spans="1:3" x14ac:dyDescent="0.25">
      <c r="A20" s="2" t="s">
        <v>361</v>
      </c>
    </row>
  </sheetData>
  <mergeCells count="1">
    <mergeCell ref="B5:C5"/>
  </mergeCells>
  <pageMargins left="0.75" right="0.75" top="0.5" bottom="0.5" header="0.3" footer="0.3"/>
  <pageSetup orientation="landscape" r:id="rId1"/>
  <headerFooter>
    <oddFooter>&amp;L&amp;8&amp;D&amp;C&amp;8&amp;P&amp;R&amp;8&amp;A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be2326-318d-4a6a-b4f2-fe4330988081" xsi:nil="true"/>
    <lcf76f155ced4ddcb4097134ff3c332f xmlns="e15b9e73-c977-4054-98ab-a31a3fb0ba9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F24FE98A5794489482F1EED8BB33FE" ma:contentTypeVersion="17" ma:contentTypeDescription="Create a new document." ma:contentTypeScope="" ma:versionID="b2900fe496e0c8b28ddd4c4631f93ca9">
  <xsd:schema xmlns:xsd="http://www.w3.org/2001/XMLSchema" xmlns:xs="http://www.w3.org/2001/XMLSchema" xmlns:p="http://schemas.microsoft.com/office/2006/metadata/properties" xmlns:ns2="e15b9e73-c977-4054-98ab-a31a3fb0ba9e" xmlns:ns3="8bbe2326-318d-4a6a-b4f2-fe4330988081" targetNamespace="http://schemas.microsoft.com/office/2006/metadata/properties" ma:root="true" ma:fieldsID="63df6292bc22d007172f50ec8b6bb721" ns2:_="" ns3:_="">
    <xsd:import namespace="e15b9e73-c977-4054-98ab-a31a3fb0ba9e"/>
    <xsd:import namespace="8bbe2326-318d-4a6a-b4f2-fe43309880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5b9e73-c977-4054-98ab-a31a3fb0b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ea4fd07-bb52-4003-87b7-be48705374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be2326-318d-4a6a-b4f2-fe43309880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4eed02-18ea-4b50-ab8c-d324e9bdf24e}" ma:internalName="TaxCatchAll" ma:showField="CatchAllData" ma:web="8bbe2326-318d-4a6a-b4f2-fe43309880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F49517-401C-42BA-9031-46B044F7B53F}">
  <ds:schemaRefs>
    <ds:schemaRef ds:uri="http://purl.org/dc/elements/1.1/"/>
    <ds:schemaRef ds:uri="http://purl.org/dc/dcmitype/"/>
    <ds:schemaRef ds:uri="http://schemas.microsoft.com/office/2006/documentManagement/types"/>
    <ds:schemaRef ds:uri="e15b9e73-c977-4054-98ab-a31a3fb0ba9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8bbe2326-318d-4a6a-b4f2-fe433098808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5BCF35-3619-4C57-B3DD-1BA5057C7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5b9e73-c977-4054-98ab-a31a3fb0ba9e"/>
    <ds:schemaRef ds:uri="8bbe2326-318d-4a6a-b4f2-fe43309880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869687-58FF-41F3-A882-1378BB9AA6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21</vt:i4>
      </vt:variant>
    </vt:vector>
  </HeadingPairs>
  <TitlesOfParts>
    <vt:vector size="35" baseType="lpstr">
      <vt:lpstr>Attachment A - Base</vt:lpstr>
      <vt:lpstr>Attachment B - Desig Base</vt:lpstr>
      <vt:lpstr>Attachment C - Fees Base</vt:lpstr>
      <vt:lpstr>Attachment D - One-Time</vt:lpstr>
      <vt:lpstr>Attachment E - Desig One-Time</vt:lpstr>
      <vt:lpstr>Attachment F - Fees One-Time</vt:lpstr>
      <vt:lpstr>Attachment G - Severance Pay</vt:lpstr>
      <vt:lpstr>Attachment H - Financial Aid</vt:lpstr>
      <vt:lpstr>Attachment I - Lottery Base</vt:lpstr>
      <vt:lpstr>Attachment J - Lottery CFWD</vt:lpstr>
      <vt:lpstr>Attachment K - PCR</vt:lpstr>
      <vt:lpstr>Attachment L - PCR CFWD</vt:lpstr>
      <vt:lpstr>OFFICE USE ONLY</vt:lpstr>
      <vt:lpstr>Attachment F - Financial Aid</vt:lpstr>
      <vt:lpstr>'Attachment A - Base'!Print_Area</vt:lpstr>
      <vt:lpstr>'Attachment B - Desig Base'!Print_Area</vt:lpstr>
      <vt:lpstr>'Attachment C - Fees Base'!Print_Area</vt:lpstr>
      <vt:lpstr>'Attachment D - One-Time'!Print_Area</vt:lpstr>
      <vt:lpstr>'Attachment E - Desig One-Time'!Print_Area</vt:lpstr>
      <vt:lpstr>'Attachment F - Fees One-Time'!Print_Area</vt:lpstr>
      <vt:lpstr>'Attachment F - Financial Aid'!Print_Area</vt:lpstr>
      <vt:lpstr>'Attachment G - Severance Pay'!Print_Area</vt:lpstr>
      <vt:lpstr>'Attachment H - Financial Aid'!Print_Area</vt:lpstr>
      <vt:lpstr>'Attachment I - Lottery Base'!Print_Area</vt:lpstr>
      <vt:lpstr>'Attachment J - Lottery CFWD'!Print_Area</vt:lpstr>
      <vt:lpstr>'Attachment K - PCR'!Print_Area</vt:lpstr>
      <vt:lpstr>'Attachment L - PCR CFWD'!Print_Area</vt:lpstr>
      <vt:lpstr>'Attachment B - Desig Base'!Print_Titles</vt:lpstr>
      <vt:lpstr>'Attachment C - Fees Base'!Print_Titles</vt:lpstr>
      <vt:lpstr>'Attachment E - Desig One-Time'!Print_Titles</vt:lpstr>
      <vt:lpstr>'Attachment F - Fees One-Time'!Print_Titles</vt:lpstr>
      <vt:lpstr>'Attachment G - Severance Pay'!Print_Titles</vt:lpstr>
      <vt:lpstr>'Attachment H - Financial Aid'!Print_Titles</vt:lpstr>
      <vt:lpstr>'Attachment K - PCR'!Print_Titles</vt:lpstr>
      <vt:lpstr>'Attachment L - PCR CFWD'!Print_Titles</vt:lpstr>
    </vt:vector>
  </TitlesOfParts>
  <Manager/>
  <Company>Cal Poly Pomona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 Lee</dc:creator>
  <cp:keywords/>
  <dc:description/>
  <cp:lastModifiedBy>Sebastian Velasquez</cp:lastModifiedBy>
  <cp:revision/>
  <cp:lastPrinted>2025-08-09T01:22:49Z</cp:lastPrinted>
  <dcterms:created xsi:type="dcterms:W3CDTF">2023-04-10T21:39:14Z</dcterms:created>
  <dcterms:modified xsi:type="dcterms:W3CDTF">2025-11-20T16:42:31Z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0x010100FEF24FE98A5794489482F1EED8BB33FE</vt:lpwstr>
  </property>
  <property fmtid="{D5CDD505-2E9C-101B-9397-08002B2CF9AE}" pid="3" name="MediaServiceImageTags">
    <vt:lpwstr/>
  </property>
</Properties>
</file>